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SAS - LAS ANONAS" sheetId="1" r:id="rId4"/>
    <sheet state="visible" name="LAS ANONAS - GUESBOL" sheetId="2" r:id="rId5"/>
    <sheet state="visible" name="GUESBOL - SAN MANUEL" sheetId="3" r:id="rId6"/>
    <sheet state="visible" name="ESC1" sheetId="4" r:id="rId7"/>
    <sheet state="visible" name="ESC2" sheetId="5" r:id="rId8"/>
    <sheet state="visible" name="ESC3" sheetId="6" r:id="rId9"/>
    <sheet state="hidden" name="CURVA DE BOMBA" sheetId="7" r:id="rId10"/>
  </sheets>
  <definedNames/>
  <calcPr/>
  <extLst>
    <ext uri="GoogleSheetsCustomDataVersion1">
      <go:sheetsCustomData xmlns:go="http://customooxmlschemas.google.com/" r:id="rId11" roundtripDataSignature="AMtx7mjYan1LDnERMCdcypjjnttoxhtMe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14">
      <text>
        <t xml:space="preserve">======
ID#AAAAX_8UP3g
FVA    (2022-04-12 16:42:01)
Salida (1.0)
Válvula (0.4)
Tee (1.8)</t>
      </text>
    </comment>
    <comment authorId="0" ref="D14">
      <text>
        <t xml:space="preserve">======
ID#AAAAX_8UP3k
FVA    (2022-04-12 16:42:01)
EB (6.1)
Tee (1.8)
Válvula (0.4)
Entrada recta a tope (0.5)</t>
      </text>
    </comment>
    <comment authorId="0" ref="B41">
      <text>
        <t xml:space="preserve">======
ID#AAAAX_8UP3Y
Xavier Molina    (2022-04-12 16:42:01)
Ceibal</t>
      </text>
    </comment>
    <comment authorId="0" ref="N14">
      <text>
        <t xml:space="preserve">======
ID#AAAAX_8UP3E
FVA    (2022-04-12 16:42:01)
Tee (1.8)
Válvula (0.4)
Entrada recta a tope (0.5)</t>
      </text>
    </comment>
    <comment authorId="0" ref="B42">
      <text>
        <t xml:space="preserve">======
ID#AAAAX_8UP3Q
Xavier Molina    (2022-04-12 16:42:01)
Azua</t>
      </text>
    </comment>
    <comment authorId="0" ref="S14">
      <text>
        <t xml:space="preserve">======
ID#AAAAX_8UP28
FVA    (2022-04-12 16:42:01)
EB (6.5)
Tee (1.8)
Válvula (0.4)
Entrada recta a tope (0.5)</t>
      </text>
    </comment>
    <comment authorId="0" ref="B102">
      <text>
        <t xml:space="preserve">======
ID#AAAAX_8UP2Q
Fabian Vinces    (2022-04-12 16:42:01)
a 25ºC</t>
      </text>
    </comment>
    <comment authorId="0" ref="D61">
      <text>
        <t xml:space="preserve">======
ID#AAAAX_8UP2U
Fabian Vinces    (2022-04-12 16:42:01)
Presión de Succión</t>
      </text>
    </comment>
    <comment authorId="0" ref="N6">
      <text>
        <t xml:space="preserve">======
ID#AAAAX_8UP2M
Xavier Molina    (2022-04-12 16:42:01)
Q entregado a zona industrial Portoviejo</t>
      </text>
    </comment>
  </commentList>
  <extLst>
    <ext uri="GoogleSheetsCustomDataVersion1">
      <go:sheetsCustomData xmlns:go="http://customooxmlschemas.google.com/" r:id="rId1" roundtripDataSignature="AMtx7mhWNwm97ScfYVwLmkViCE7jgw2A7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41">
      <text>
        <t xml:space="preserve">======
ID#AAAAX_8UP3I
Xavier Molina    (2022-04-12 16:42:01)
Ceibal</t>
      </text>
    </comment>
    <comment authorId="0" ref="N14">
      <text>
        <t xml:space="preserve">======
ID#AAAAX_8UP24
FVA    (2022-04-12 16:42:01)
Tee (1.8)
Válvula (0.4)
Entrada recta a tope (0.5)</t>
      </text>
    </comment>
    <comment authorId="0" ref="S14">
      <text>
        <t xml:space="preserve">======
ID#AAAAX_8UP2k
FVA    (2022-04-12 16:42:01)
EB (6.5)
Tee (1.8)
Válvula (0.4)
Entrada recta a tope (0.5)</t>
      </text>
    </comment>
    <comment authorId="0" ref="D61">
      <text>
        <t xml:space="preserve">======
ID#AAAAX_8UP2o
Fabian Vinces    (2022-04-12 16:42:01)
Presión de Succión</t>
      </text>
    </comment>
    <comment authorId="0" ref="B42">
      <text>
        <t xml:space="preserve">======
ID#AAAAX_8UP2s
Xavier Molina    (2022-04-12 16:42:01)
Azua</t>
      </text>
    </comment>
    <comment authorId="0" ref="I14">
      <text>
        <t xml:space="preserve">======
ID#AAAAX_8UP2w
FVA    (2022-04-12 16:42:01)
Salida (1.0)
Válvula (0.4)
Tee (1.8)</t>
      </text>
    </comment>
    <comment authorId="0" ref="D14">
      <text>
        <t xml:space="preserve">======
ID#AAAAX_8UP2g
FVA    (2022-04-12 16:42:01)
EB (6.1)
Tee (1.8)
Válvula (0.4)
Entrada recta a tope (0.5)</t>
      </text>
    </comment>
    <comment authorId="0" ref="N6">
      <text>
        <t xml:space="preserve">======
ID#AAAAX_8UP2A
Xavier Molina    (2022-04-12 16:42:01)
Q entregado a zona industrial Portoviejo</t>
      </text>
    </comment>
    <comment authorId="0" ref="B102">
      <text>
        <t xml:space="preserve">======
ID#AAAAX_8UP2E
Fabian Vinces    (2022-04-12 16:42:01)
a 25ºC</t>
      </text>
    </comment>
  </commentList>
  <extLst>
    <ext uri="GoogleSheetsCustomDataVersion1">
      <go:sheetsCustomData xmlns:go="http://customooxmlschemas.google.com/" r:id="rId1" roundtripDataSignature="AMtx7mjq0L8Az7/ZgqljRc8eyweX241ElQ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4">
      <text>
        <t xml:space="preserve">======
ID#AAAAX_8UP3c
FVA    (2022-04-12 16:42:01)
EB (6.1)
Tee (1.8)
Válvula (0.4)
Entrada recta a tope (0.5)</t>
      </text>
    </comment>
    <comment authorId="0" ref="D61">
      <text>
        <t xml:space="preserve">======
ID#AAAAX_8UP3M
Fabian Vinces    (2022-04-12 16:42:01)
Presión de Succión</t>
      </text>
    </comment>
    <comment authorId="0" ref="B41">
      <text>
        <t xml:space="preserve">======
ID#AAAAX_8UP3U
Xavier Molina    (2022-04-12 16:42:01)
Ceibal</t>
      </text>
    </comment>
    <comment authorId="0" ref="B102">
      <text>
        <t xml:space="preserve">======
ID#AAAAX_8UP3A
Fabian Vinces    (2022-04-12 16:42:01)
a 25ºC</t>
      </text>
    </comment>
    <comment authorId="0" ref="B42">
      <text>
        <t xml:space="preserve">======
ID#AAAAX_8UP20
Xavier Molina    (2022-04-12 16:42:01)
Azua</t>
      </text>
    </comment>
    <comment authorId="0" ref="N14">
      <text>
        <t xml:space="preserve">======
ID#AAAAX_8UP2Y
FVA    (2022-04-12 16:42:01)
Tee (1.8)
Válvula (0.4)
Entrada recta a tope (0.5)</t>
      </text>
    </comment>
    <comment authorId="0" ref="S14">
      <text>
        <t xml:space="preserve">======
ID#AAAAX_8UP2c
FVA    (2022-04-12 16:42:01)
EB (6.5)
Tee (1.8)
Válvula (0.4)
Entrada recta a tope (0.5)</t>
      </text>
    </comment>
    <comment authorId="0" ref="I14">
      <text>
        <t xml:space="preserve">======
ID#AAAAX_8UP2I
FVA    (2022-04-12 16:42:01)
Salida (1.0)
Válvula (0.4)
Tee (1.8)</t>
      </text>
    </comment>
    <comment authorId="0" ref="N6">
      <text>
        <t xml:space="preserve">======
ID#AAAAX_8UP18
Xavier Molina    (2022-04-12 16:42:01)
Q entregado a zona industrial Portoviejo</t>
      </text>
    </comment>
  </commentList>
  <extLst>
    <ext uri="GoogleSheetsCustomDataVersion1">
      <go:sheetsCustomData xmlns:go="http://customooxmlschemas.google.com/" r:id="rId1" roundtripDataSignature="AMtx7mj+ZfPae+CkFYn8DHB0SsmHdrxqXw=="/>
    </ext>
  </extLst>
</comments>
</file>

<file path=xl/sharedStrings.xml><?xml version="1.0" encoding="utf-8"?>
<sst xmlns="http://schemas.openxmlformats.org/spreadsheetml/2006/main" count="828" uniqueCount="142">
  <si>
    <t>Cota inicial</t>
  </si>
  <si>
    <t>m</t>
  </si>
  <si>
    <t>Cota final</t>
  </si>
  <si>
    <t>Punto Inicial</t>
  </si>
  <si>
    <t>Punto Intermedio</t>
  </si>
  <si>
    <t>Punto Cambio</t>
  </si>
  <si>
    <t>Punto Objetivo</t>
  </si>
  <si>
    <t>caudal</t>
  </si>
  <si>
    <t>Q</t>
  </si>
  <si>
    <t>l/s</t>
  </si>
  <si>
    <t>Longitud</t>
  </si>
  <si>
    <t>L</t>
  </si>
  <si>
    <t>diámetro</t>
  </si>
  <si>
    <t>D</t>
  </si>
  <si>
    <t>mm</t>
  </si>
  <si>
    <t>velocidad</t>
  </si>
  <si>
    <t>V</t>
  </si>
  <si>
    <t>m/s</t>
  </si>
  <si>
    <t>viscosidad cinem.</t>
  </si>
  <si>
    <t>𝜐</t>
  </si>
  <si>
    <t>m2/s</t>
  </si>
  <si>
    <t>rugosidad abs.</t>
  </si>
  <si>
    <t>Ks</t>
  </si>
  <si>
    <t>rugosidad relativa</t>
  </si>
  <si>
    <t xml:space="preserve">Ks/D </t>
  </si>
  <si>
    <t>No. Reynolds</t>
  </si>
  <si>
    <t>Re</t>
  </si>
  <si>
    <t>Coef. Pérd. Men.</t>
  </si>
  <si>
    <t>km</t>
  </si>
  <si>
    <t>f</t>
  </si>
  <si>
    <t>x</t>
  </si>
  <si>
    <t>g(x)</t>
  </si>
  <si>
    <t>Diámetro en metros</t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</si>
  <si>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</si>
  <si>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</si>
  <si>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</si>
  <si>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</si>
  <si>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t xml:space="preserve">hf </t>
  </si>
  <si>
    <t>hf/L</t>
  </si>
  <si>
    <t>m/km</t>
  </si>
  <si>
    <t>PVC</t>
  </si>
  <si>
    <t>Caudal en m3/s</t>
  </si>
  <si>
    <t>Hipótesis:</t>
  </si>
  <si>
    <t>Q TOTAL</t>
  </si>
  <si>
    <t>HD</t>
  </si>
  <si>
    <t>Caudal bombeado</t>
  </si>
  <si>
    <t>0% DE PÉRDIDAS</t>
  </si>
  <si>
    <t>hf</t>
  </si>
  <si>
    <t>hm</t>
  </si>
  <si>
    <t>Condicion de frontera</t>
  </si>
  <si>
    <t>Cota inicio</t>
  </si>
  <si>
    <t>Presión ingreso EB</t>
  </si>
  <si>
    <t>Presión final requerida</t>
  </si>
  <si>
    <t>NIVEL MAX TANQUE</t>
  </si>
  <si>
    <t>Bombeos existente</t>
  </si>
  <si>
    <t xml:space="preserve">Altura de bombeo </t>
  </si>
  <si>
    <t>Cálculo de bomba</t>
  </si>
  <si>
    <t>Energía requerida de bombeo</t>
  </si>
  <si>
    <t>Energía adicional requerida</t>
  </si>
  <si>
    <t>Energía total de bombeo</t>
  </si>
  <si>
    <t>Peso especifico</t>
  </si>
  <si>
    <t>N/m3</t>
  </si>
  <si>
    <t>eficiencia mec.</t>
  </si>
  <si>
    <t>eficiencia eléct.</t>
  </si>
  <si>
    <t>c/bomba</t>
  </si>
  <si>
    <t>Potencia</t>
  </si>
  <si>
    <t>hp</t>
  </si>
  <si>
    <t>Abcisa (m)</t>
  </si>
  <si>
    <t>Cota (m)</t>
  </si>
  <si>
    <t>Presión (m)</t>
  </si>
  <si>
    <t>H piezom. (m)</t>
  </si>
  <si>
    <t>Nivel del Tanque</t>
  </si>
  <si>
    <t>Observaciones</t>
  </si>
  <si>
    <t>Consideraciones Estación de Bombeo</t>
  </si>
  <si>
    <t>Entrada acampada</t>
  </si>
  <si>
    <t>Unión</t>
  </si>
  <si>
    <t>Válvula corte (Buffer o compuerta)</t>
  </si>
  <si>
    <t>Reducción (incluye unión flexible)</t>
  </si>
  <si>
    <t>Expansión</t>
  </si>
  <si>
    <t>Válvula check</t>
  </si>
  <si>
    <t>Yee incorporación</t>
  </si>
  <si>
    <t>Codo recto 90°</t>
  </si>
  <si>
    <t>Datos</t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</si>
  <si>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a </t>
    </r>
    <r>
      <rPr>
        <rFont val="Calibri"/>
        <b/>
        <color theme="1"/>
        <sz val="11.0"/>
      </rPr>
      <t>=</t>
    </r>
  </si>
  <si>
    <t>mca</t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</si>
  <si>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vp </t>
    </r>
    <r>
      <rPr>
        <rFont val="Calibri"/>
        <b/>
        <color theme="1"/>
        <sz val="11.0"/>
      </rPr>
      <t>=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</si>
  <si>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</si>
  <si>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hf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</si>
  <si>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Σh</t>
    </r>
    <r>
      <rPr>
        <rFont val="Calibri"/>
        <b/>
        <color theme="1"/>
        <sz val="8.0"/>
      </rPr>
      <t>m</t>
    </r>
    <r>
      <rPr>
        <rFont val="Calibri"/>
        <b/>
        <color theme="1"/>
        <sz val="10.0"/>
      </rPr>
      <t xml:space="preserve"> =</t>
    </r>
  </si>
  <si>
    <r>
      <rPr>
        <rFont val="Calibri"/>
        <b/>
        <color theme="1"/>
        <sz val="11.0"/>
      </rPr>
      <t>k</t>
    </r>
    <r>
      <rPr>
        <rFont val="Calibri"/>
        <b/>
        <color theme="1"/>
        <sz val="8.0"/>
      </rPr>
      <t>m</t>
    </r>
    <r>
      <rPr>
        <rFont val="Calibri"/>
        <b/>
        <color theme="1"/>
        <sz val="11.0"/>
      </rPr>
      <t xml:space="preserve"> =</t>
    </r>
  </si>
  <si>
    <t>D =</t>
  </si>
  <si>
    <t>L =</t>
  </si>
  <si>
    <t>Q =</t>
  </si>
  <si>
    <t>m3/s</t>
  </si>
  <si>
    <t>f =</t>
  </si>
  <si>
    <t>V =</t>
  </si>
  <si>
    <t>g =</t>
  </si>
  <si>
    <t>m/s2</t>
  </si>
  <si>
    <t>π =</t>
  </si>
  <si>
    <t>NPSHd</t>
  </si>
  <si>
    <t>NPSHa</t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</si>
  <si>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</si>
  <si>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</si>
  <si>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</si>
  <si>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</si>
  <si>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a </t>
    </r>
    <r>
      <rPr>
        <rFont val="Calibri"/>
        <b/>
        <color theme="1"/>
        <sz val="11.0"/>
      </rPr>
      <t>=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</si>
  <si>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vp </t>
    </r>
    <r>
      <rPr>
        <rFont val="Calibri"/>
        <b/>
        <color theme="1"/>
        <sz val="11.0"/>
      </rPr>
      <t>=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</si>
  <si>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</si>
  <si>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hf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</si>
  <si>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Σh</t>
    </r>
    <r>
      <rPr>
        <rFont val="Calibri"/>
        <b/>
        <color theme="1"/>
        <sz val="8.0"/>
      </rPr>
      <t>m</t>
    </r>
    <r>
      <rPr>
        <rFont val="Calibri"/>
        <b/>
        <color theme="1"/>
        <sz val="10.0"/>
      </rPr>
      <t xml:space="preserve"> =</t>
    </r>
  </si>
  <si>
    <r>
      <rPr>
        <rFont val="Calibri"/>
        <b/>
        <color theme="1"/>
        <sz val="11.0"/>
      </rPr>
      <t>k</t>
    </r>
    <r>
      <rPr>
        <rFont val="Calibri"/>
        <b/>
        <color theme="1"/>
        <sz val="8.0"/>
      </rPr>
      <t>m</t>
    </r>
    <r>
      <rPr>
        <rFont val="Calibri"/>
        <b/>
        <color theme="1"/>
        <sz val="11.0"/>
      </rPr>
      <t xml:space="preserve"> =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</si>
  <si>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</si>
  <si>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</si>
  <si>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</si>
  <si>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Tahoma"/>
        <color theme="1"/>
        <sz val="10.0"/>
      </rPr>
      <t>Σ</t>
    </r>
    <r>
      <rPr>
        <rFont val="Arial"/>
        <color theme="1"/>
        <sz val="10.0"/>
      </rPr>
      <t>hm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</si>
  <si>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a </t>
    </r>
    <r>
      <rPr>
        <rFont val="Calibri"/>
        <b/>
        <color theme="1"/>
        <sz val="11.0"/>
      </rPr>
      <t>=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</si>
  <si>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 xml:space="preserve">vp </t>
    </r>
    <r>
      <rPr>
        <rFont val="Calibri"/>
        <b/>
        <color theme="1"/>
        <sz val="11.0"/>
      </rPr>
      <t>=</t>
    </r>
  </si>
  <si>
    <r>
      <rPr>
        <rFont val="Calibri"/>
        <b/>
        <color theme="1"/>
        <sz val="11.0"/>
      </rPr>
      <t>P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</si>
  <si>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hf</t>
    </r>
    <r>
      <rPr>
        <rFont val="Calibri"/>
        <b/>
        <color theme="1"/>
        <sz val="8.0"/>
      </rPr>
      <t>s</t>
    </r>
    <r>
      <rPr>
        <rFont val="Calibri"/>
        <b/>
        <color theme="1"/>
        <sz val="11.0"/>
      </rPr>
      <t xml:space="preserve"> =</t>
    </r>
  </si>
  <si>
    <r>
      <rPr>
        <rFont val="Calibri"/>
        <b/>
        <color theme="1"/>
        <sz val="11.0"/>
      </rPr>
      <t>Σh</t>
    </r>
    <r>
      <rPr>
        <rFont val="Calibri"/>
        <b/>
        <color theme="1"/>
        <sz val="8.0"/>
      </rPr>
      <t>m</t>
    </r>
    <r>
      <rPr>
        <rFont val="Calibri"/>
        <b/>
        <color theme="1"/>
        <sz val="10.0"/>
      </rPr>
      <t xml:space="preserve"> =</t>
    </r>
  </si>
  <si>
    <r>
      <rPr>
        <rFont val="Calibri"/>
        <b/>
        <color theme="1"/>
        <sz val="11.0"/>
      </rPr>
      <t>k</t>
    </r>
    <r>
      <rPr>
        <rFont val="Calibri"/>
        <b/>
        <color theme="1"/>
        <sz val="8.0"/>
      </rPr>
      <t>m</t>
    </r>
    <r>
      <rPr>
        <rFont val="Calibri"/>
        <b/>
        <color theme="1"/>
        <sz val="11.0"/>
      </rPr>
      <t xml:space="preserve"> =</t>
    </r>
  </si>
  <si>
    <t>ESC1: BALSAS - ANONAS</t>
  </si>
  <si>
    <t>C</t>
  </si>
  <si>
    <t>LONGITUD TOTAL</t>
  </si>
  <si>
    <t>ml</t>
  </si>
  <si>
    <t>Cini</t>
  </si>
  <si>
    <t>TDH</t>
  </si>
  <si>
    <t>HG</t>
  </si>
  <si>
    <t>COTA INT</t>
  </si>
  <si>
    <t>PRESION 1</t>
  </si>
  <si>
    <t>PRESION TOT</t>
  </si>
  <si>
    <t>ESC1: ANONAS - GUESBOL</t>
  </si>
  <si>
    <t>ESC2: BALSAS - ANONAS</t>
  </si>
  <si>
    <t>ESC2: ANONAS - GUESBOL</t>
  </si>
  <si>
    <t>ESC3: BALSAS - ANONAS</t>
  </si>
  <si>
    <t>ESC3: ANONAS - GUESBOL</t>
  </si>
  <si>
    <t>Q (l/s)</t>
  </si>
  <si>
    <t>Hb (m)</t>
  </si>
  <si>
    <t>Ren %</t>
  </si>
  <si>
    <t>Pot (hp)</t>
  </si>
  <si>
    <t>ERPN Centerline Mtd.</t>
  </si>
  <si>
    <t>ERPN 50-160 -I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</si>
</sst>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0.0%"/>
  </numFmts>
  <fonts count="10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0.0"/>
      <color theme="1"/>
      <name val="Tahoma"/>
    </font>
    <font>
      <sz val="11.0"/>
      <color theme="1"/>
      <name val="Calibri"/>
    </font>
    <font>
      <b/>
      <sz val="10.0"/>
      <color rgb="FFC00000"/>
      <name val="Arial"/>
    </font>
    <font>
      <b/>
      <sz val="11.0"/>
      <color theme="1"/>
      <name val="Calibri"/>
    </font>
    <font/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2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" xfId="0" applyFont="1" applyNumberFormat="1"/>
    <xf borderId="1" fillId="0" fontId="1" numFmtId="0" xfId="0" applyBorder="1" applyFont="1"/>
    <xf borderId="2" fillId="0" fontId="1" numFmtId="0" xfId="0" applyAlignment="1" applyBorder="1" applyFont="1">
      <alignment horizontal="center"/>
    </xf>
    <xf borderId="2" fillId="0" fontId="1" numFmtId="164" xfId="0" applyBorder="1" applyFont="1" applyNumberFormat="1"/>
    <xf borderId="3" fillId="0" fontId="1" numFmtId="0" xfId="0" applyBorder="1" applyFont="1"/>
    <xf borderId="0" fillId="0" fontId="1" numFmtId="0" xfId="0" applyAlignment="1" applyFont="1">
      <alignment horizontal="center" shrinkToFit="0" vertical="center" wrapText="1"/>
    </xf>
    <xf borderId="4" fillId="0" fontId="1" numFmtId="0" xfId="0" applyBorder="1" applyFont="1"/>
    <xf borderId="0" fillId="0" fontId="1" numFmtId="0" xfId="0" applyAlignment="1" applyFont="1">
      <alignment horizontal="center"/>
    </xf>
    <xf borderId="5" fillId="0" fontId="1" numFmtId="0" xfId="0" applyBorder="1" applyFont="1"/>
    <xf borderId="0" fillId="0" fontId="1" numFmtId="164" xfId="0" applyFont="1" applyNumberFormat="1"/>
    <xf borderId="0" fillId="0" fontId="1" numFmtId="2" xfId="0" applyFont="1" applyNumberFormat="1"/>
    <xf borderId="0" fillId="0" fontId="1" numFmtId="11" xfId="0" applyFont="1" applyNumberFormat="1"/>
    <xf borderId="5" fillId="0" fontId="1" numFmtId="11" xfId="0" applyBorder="1" applyFont="1" applyNumberFormat="1"/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5" fillId="0" fontId="2" numFmtId="0" xfId="0" applyAlignment="1" applyBorder="1" applyFont="1">
      <alignment horizontal="center"/>
    </xf>
    <xf borderId="0" fillId="0" fontId="3" numFmtId="0" xfId="0" applyFont="1"/>
    <xf borderId="0" fillId="0" fontId="1" numFmtId="1" xfId="0" applyAlignment="1" applyFont="1" applyNumberForma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6" fillId="0" fontId="1" numFmtId="0" xfId="0" applyBorder="1" applyFont="1"/>
    <xf borderId="7" fillId="0" fontId="1" numFmtId="0" xfId="0" applyAlignment="1" applyBorder="1" applyFont="1">
      <alignment horizontal="center"/>
    </xf>
    <xf borderId="7" fillId="0" fontId="1" numFmtId="2" xfId="0" applyBorder="1" applyFont="1" applyNumberFormat="1"/>
    <xf borderId="8" fillId="0" fontId="1" numFmtId="0" xfId="0" applyBorder="1" applyFont="1"/>
    <xf borderId="0" fillId="0" fontId="2" numFmtId="0" xfId="0" applyFont="1"/>
    <xf borderId="0" fillId="0" fontId="5" numFmtId="9" xfId="0" applyFont="1" applyNumberFormat="1"/>
    <xf borderId="9" fillId="0" fontId="1" numFmtId="0" xfId="0" applyBorder="1" applyFont="1"/>
    <xf borderId="9" fillId="0" fontId="1" numFmtId="1" xfId="0" applyBorder="1" applyFont="1" applyNumberFormat="1"/>
    <xf borderId="9" fillId="0" fontId="6" numFmtId="164" xfId="0" applyBorder="1" applyFont="1" applyNumberFormat="1"/>
    <xf borderId="9" fillId="0" fontId="1" numFmtId="164" xfId="0" applyBorder="1" applyFont="1" applyNumberFormat="1"/>
    <xf borderId="9" fillId="2" fontId="1" numFmtId="1" xfId="0" applyBorder="1" applyFill="1" applyFont="1" applyNumberFormat="1"/>
    <xf borderId="9" fillId="2" fontId="1" numFmtId="0" xfId="0" applyBorder="1" applyFont="1"/>
    <xf borderId="9" fillId="2" fontId="1" numFmtId="164" xfId="0" applyBorder="1" applyFont="1" applyNumberFormat="1"/>
    <xf borderId="10" fillId="3" fontId="7" numFmtId="0" xfId="0" applyAlignment="1" applyBorder="1" applyFill="1" applyFont="1">
      <alignment horizontal="center" vertical="center"/>
    </xf>
    <xf borderId="11" fillId="0" fontId="8" numFmtId="0" xfId="0" applyBorder="1" applyFont="1"/>
    <xf borderId="12" fillId="0" fontId="8" numFmtId="0" xfId="0" applyBorder="1" applyFont="1"/>
    <xf borderId="13" fillId="3" fontId="7" numFmtId="0" xfId="0" applyAlignment="1" applyBorder="1" applyFont="1">
      <alignment horizontal="center" vertical="center"/>
    </xf>
    <xf borderId="13" fillId="3" fontId="5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center" vertical="center"/>
    </xf>
    <xf borderId="15" fillId="4" fontId="5" numFmtId="2" xfId="0" applyAlignment="1" applyBorder="1" applyFill="1" applyFont="1" applyNumberFormat="1">
      <alignment horizontal="center" vertical="center"/>
    </xf>
    <xf borderId="16" fillId="3" fontId="5" numFmtId="0" xfId="0" applyAlignment="1" applyBorder="1" applyFont="1">
      <alignment horizontal="center" vertical="center"/>
    </xf>
    <xf borderId="17" fillId="3" fontId="7" numFmtId="0" xfId="0" applyAlignment="1" applyBorder="1" applyFont="1">
      <alignment horizontal="center" vertical="center"/>
    </xf>
    <xf borderId="18" fillId="4" fontId="5" numFmtId="2" xfId="0" applyAlignment="1" applyBorder="1" applyFont="1" applyNumberFormat="1">
      <alignment horizontal="center" vertical="center"/>
    </xf>
    <xf borderId="19" fillId="3" fontId="5" numFmtId="0" xfId="0" applyAlignment="1" applyBorder="1" applyFont="1">
      <alignment horizontal="center" vertical="center"/>
    </xf>
    <xf borderId="20" fillId="3" fontId="7" numFmtId="0" xfId="0" applyAlignment="1" applyBorder="1" applyFont="1">
      <alignment horizontal="center" vertical="center"/>
    </xf>
    <xf borderId="21" fillId="4" fontId="5" numFmtId="2" xfId="0" applyAlignment="1" applyBorder="1" applyFont="1" applyNumberFormat="1">
      <alignment horizontal="center" vertical="center"/>
    </xf>
    <xf borderId="22" fillId="3" fontId="5" numFmtId="0" xfId="0" applyAlignment="1" applyBorder="1" applyFont="1">
      <alignment horizontal="center" vertical="center"/>
    </xf>
    <xf borderId="23" fillId="5" fontId="5" numFmtId="165" xfId="0" applyAlignment="1" applyBorder="1" applyFill="1" applyFont="1" applyNumberFormat="1">
      <alignment horizontal="center" vertical="center"/>
    </xf>
    <xf borderId="13" fillId="5" fontId="5" numFmtId="165" xfId="0" applyAlignment="1" applyBorder="1" applyFont="1" applyNumberFormat="1">
      <alignment horizontal="center" vertical="center"/>
    </xf>
    <xf borderId="24" fillId="4" fontId="5" numFmtId="2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vertical="center"/>
    </xf>
    <xf borderId="18" fillId="4" fontId="5" numFmtId="1" xfId="0" applyAlignment="1" applyBorder="1" applyFont="1" applyNumberFormat="1">
      <alignment horizontal="center" vertical="center"/>
    </xf>
    <xf borderId="18" fillId="4" fontId="5" numFmtId="167" xfId="0" applyAlignment="1" applyBorder="1" applyFont="1" applyNumberFormat="1">
      <alignment horizontal="center" vertical="center"/>
    </xf>
    <xf borderId="18" fillId="4" fontId="5" numFmtId="0" xfId="0" applyAlignment="1" applyBorder="1" applyFont="1">
      <alignment horizontal="center" vertical="center"/>
    </xf>
    <xf borderId="21" fillId="4" fontId="5" numFmtId="168" xfId="0" applyAlignment="1" applyBorder="1" applyFont="1" applyNumberFormat="1">
      <alignment horizontal="center" vertical="center"/>
    </xf>
    <xf borderId="25" fillId="3" fontId="7" numFmtId="0" xfId="0" applyAlignment="1" applyBorder="1" applyFont="1">
      <alignment horizontal="center" vertical="center"/>
    </xf>
    <xf borderId="26" fillId="5" fontId="5" numFmtId="2" xfId="0" applyAlignment="1" applyBorder="1" applyFont="1" applyNumberFormat="1">
      <alignment horizontal="center" vertical="center"/>
    </xf>
    <xf borderId="27" fillId="3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5" numFmtId="2" xfId="0" applyAlignment="1" applyFont="1" applyNumberFormat="1">
      <alignment horizontal="center" vertical="center"/>
    </xf>
    <xf borderId="0" fillId="0" fontId="7" numFmtId="2" xfId="0" applyAlignment="1" applyFont="1" applyNumberFormat="1">
      <alignment horizontal="center" vertical="center"/>
    </xf>
    <xf borderId="9" fillId="0" fontId="7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5" numFmtId="169" xfId="0" applyAlignment="1" applyBorder="1" applyFont="1" applyNumberForma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381551328514367"/>
          <c:y val="0.04649058738358271"/>
          <c:w val="0.9051449214009539"/>
          <c:h val="0.8359456864932051"/>
        </c:manualLayout>
      </c:layout>
      <c:scatterChart>
        <c:scatterStyle val="lineMarker"/>
        <c:ser>
          <c:idx val="0"/>
          <c:order val="0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'BALSAS - LAS ANONAS'!$B$61:$B$69</c:f>
            </c:numRef>
          </c:xVal>
          <c:yVal>
            <c:numRef>
              <c:f>'BALSAS - LAS ANONAS'!$C$61:$C$69</c:f>
              <c:numCache/>
            </c:numRef>
          </c:yVal>
        </c:ser>
        <c:ser>
          <c:idx val="1"/>
          <c:order val="1"/>
          <c:tx>
            <c:v>H piezom.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'BALSAS - LAS ANONAS'!$B$61:$B$69</c:f>
            </c:numRef>
          </c:xVal>
          <c:yVal>
            <c:numRef>
              <c:f>'BALSAS - LAS ANONAS'!$E$61:$E$69</c:f>
              <c:numCache/>
            </c:numRef>
          </c:yVal>
        </c:ser>
        <c:ser>
          <c:idx val="2"/>
          <c:order val="2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xVal>
            <c:numRef>
              <c:f>'BALSAS - LAS ANONAS'!$B$61:$B$69</c:f>
            </c:numRef>
          </c:xVal>
          <c:yVal>
            <c:numRef>
              <c:f>'BALSAS - LAS ANONAS'!$C$61:$C$69</c:f>
              <c:numCache/>
            </c:numRef>
          </c:yVal>
        </c:ser>
        <c:ser>
          <c:idx val="3"/>
          <c:order val="3"/>
          <c:tx>
            <c:v>H piezom.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'BALSAS - LAS ANONAS'!$B$61:$B$69</c:f>
            </c:numRef>
          </c:xVal>
          <c:yVal>
            <c:numRef>
              <c:f>'BALSAS - LAS ANONAS'!$E$61:$E$69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921731"/>
        <c:axId val="1248641015"/>
      </c:scatterChart>
      <c:valAx>
        <c:axId val="973921731"/>
        <c:scaling>
          <c:orientation val="minMax"/>
          <c:max val="140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Distancia (m)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248641015"/>
      </c:valAx>
      <c:valAx>
        <c:axId val="12486410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73921731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381551328514367"/>
          <c:y val="0.04649058738358271"/>
          <c:w val="0.9051449214009539"/>
          <c:h val="0.8359456864932051"/>
        </c:manualLayout>
      </c:layout>
      <c:scatterChart>
        <c:scatterStyle val="lineMarker"/>
        <c:ser>
          <c:idx val="0"/>
          <c:order val="0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Pt>
            <c:idx val="7"/>
            <c:marker>
              <c:symbol val="none"/>
            </c:marker>
          </c:dPt>
          <c:xVal>
            <c:numRef>
              <c:f>'LAS ANONAS - GUESBOL'!$B$61:$B$69</c:f>
            </c:numRef>
          </c:xVal>
          <c:yVal>
            <c:numRef>
              <c:f>'LAS ANONAS - GUESBOL'!$C$61:$C$69</c:f>
              <c:numCache/>
            </c:numRef>
          </c:yVal>
        </c:ser>
        <c:ser>
          <c:idx val="1"/>
          <c:order val="1"/>
          <c:tx>
            <c:v>H piezom.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'LAS ANONAS - GUESBOL'!$B$61:$B$69</c:f>
            </c:numRef>
          </c:xVal>
          <c:yVal>
            <c:numRef>
              <c:f>'LAS ANONAS - GUESBOL'!$E$61:$E$69</c:f>
              <c:numCache/>
            </c:numRef>
          </c:yVal>
        </c:ser>
        <c:ser>
          <c:idx val="2"/>
          <c:order val="2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xVal>
            <c:numRef>
              <c:f>'LAS ANONAS - GUESBOL'!$B$61:$B$69</c:f>
            </c:numRef>
          </c:xVal>
          <c:yVal>
            <c:numRef>
              <c:f>'LAS ANONAS - GUESBOL'!$E$61:$E$69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74341"/>
        <c:axId val="462464749"/>
      </c:scatterChart>
      <c:valAx>
        <c:axId val="479274341"/>
        <c:scaling>
          <c:orientation val="minMax"/>
          <c:max val="90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Distancia (m)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462464749"/>
      </c:valAx>
      <c:valAx>
        <c:axId val="462464749"/>
        <c:scaling>
          <c:orientation val="minMax"/>
          <c:min val="15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7927434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381551328514367"/>
          <c:y val="0.04649058738358271"/>
          <c:w val="0.9051449214009539"/>
          <c:h val="0.8359456864932051"/>
        </c:manualLayout>
      </c:layout>
      <c:scatterChart>
        <c:scatterStyle val="lineMarker"/>
        <c:ser>
          <c:idx val="0"/>
          <c:order val="0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Pt>
            <c:idx val="7"/>
            <c:marker>
              <c:symbol val="none"/>
            </c:marker>
          </c:dPt>
          <c:xVal>
            <c:numRef>
              <c:f>'GUESBOL - SAN MANUEL'!$B$61:$B$69</c:f>
            </c:numRef>
          </c:xVal>
          <c:yVal>
            <c:numRef>
              <c:f>'GUESBOL - SAN MANUEL'!$C$61:$C$69</c:f>
              <c:numCache/>
            </c:numRef>
          </c:yVal>
        </c:ser>
        <c:ser>
          <c:idx val="1"/>
          <c:order val="1"/>
          <c:tx>
            <c:v>H piezom.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'GUESBOL - SAN MANUEL'!$B$61:$B$69</c:f>
            </c:numRef>
          </c:xVal>
          <c:yVal>
            <c:numRef>
              <c:f>'GUESBOL - SAN MANUEL'!$E$61:$E$69</c:f>
              <c:numCache/>
            </c:numRef>
          </c:yVal>
        </c:ser>
        <c:ser>
          <c:idx val="2"/>
          <c:order val="2"/>
          <c:tx>
            <c:v>Cota (m)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xVal>
            <c:numRef>
              <c:f>'GUESBOL - SAN MANUEL'!$B$61:$B$69</c:f>
            </c:numRef>
          </c:xVal>
          <c:yVal>
            <c:numRef>
              <c:f>'GUESBOL - SAN MANUEL'!$E$61:$E$69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964724"/>
        <c:axId val="831490713"/>
      </c:scatterChart>
      <c:valAx>
        <c:axId val="1557964724"/>
        <c:scaling>
          <c:orientation val="minMax"/>
          <c:max val="20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Distancia (m)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831490713"/>
      </c:valAx>
      <c:valAx>
        <c:axId val="831490713"/>
        <c:scaling>
          <c:orientation val="minMax"/>
          <c:min val="15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5796472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514350</xdr:colOff>
      <xdr:row>35</xdr:row>
      <xdr:rowOff>104775</xdr:rowOff>
    </xdr:from>
    <xdr:ext cx="10010775" cy="5267325"/>
    <xdr:graphicFrame>
      <xdr:nvGraphicFramePr>
        <xdr:cNvPr id="152752464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21</xdr:col>
      <xdr:colOff>266700</xdr:colOff>
      <xdr:row>4</xdr:row>
      <xdr:rowOff>95250</xdr:rowOff>
    </xdr:from>
    <xdr:ext cx="5295900" cy="895350"/>
    <xdr:sp>
      <xdr:nvSpPr>
        <xdr:cNvPr id="3" name="Shape 3"/>
        <xdr:cNvSpPr txBox="1"/>
      </xdr:nvSpPr>
      <xdr:spPr>
        <a:xfrm>
          <a:off x="2699411" y="3332827"/>
          <a:ext cx="5293178" cy="89434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0</xdr:colOff>
      <xdr:row>10</xdr:row>
      <xdr:rowOff>28575</xdr:rowOff>
    </xdr:from>
    <xdr:ext cx="3228975" cy="847725"/>
    <xdr:sp>
      <xdr:nvSpPr>
        <xdr:cNvPr id="4" name="Shape 4"/>
        <xdr:cNvSpPr txBox="1"/>
      </xdr:nvSpPr>
      <xdr:spPr>
        <a:xfrm>
          <a:off x="3733554" y="3360719"/>
          <a:ext cx="3224893" cy="838563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22</xdr:col>
      <xdr:colOff>666750</xdr:colOff>
      <xdr:row>18</xdr:row>
      <xdr:rowOff>19050</xdr:rowOff>
    </xdr:from>
    <xdr:ext cx="3228975" cy="819150"/>
    <xdr:sp>
      <xdr:nvSpPr>
        <xdr:cNvPr id="5" name="Shape 5"/>
        <xdr:cNvSpPr txBox="1"/>
      </xdr:nvSpPr>
      <xdr:spPr>
        <a:xfrm>
          <a:off x="3733554" y="3372356"/>
          <a:ext cx="3224893" cy="815288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180975</xdr:colOff>
      <xdr:row>24</xdr:row>
      <xdr:rowOff>85725</xdr:rowOff>
    </xdr:from>
    <xdr:ext cx="2552700" cy="1066800"/>
    <xdr:sp>
      <xdr:nvSpPr>
        <xdr:cNvPr id="6" name="Shape 6"/>
        <xdr:cNvSpPr txBox="1"/>
      </xdr:nvSpPr>
      <xdr:spPr>
        <a:xfrm>
          <a:off x="4073732" y="3247867"/>
          <a:ext cx="2544536" cy="1064266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8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39</xdr:row>
      <xdr:rowOff>133350</xdr:rowOff>
    </xdr:from>
    <xdr:ext cx="9991725" cy="5295900"/>
    <xdr:graphicFrame>
      <xdr:nvGraphicFramePr>
        <xdr:cNvPr id="41294930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21</xdr:col>
      <xdr:colOff>266700</xdr:colOff>
      <xdr:row>4</xdr:row>
      <xdr:rowOff>95250</xdr:rowOff>
    </xdr:from>
    <xdr:ext cx="5295900" cy="895350"/>
    <xdr:sp>
      <xdr:nvSpPr>
        <xdr:cNvPr id="7" name="Shape 7"/>
        <xdr:cNvSpPr txBox="1"/>
      </xdr:nvSpPr>
      <xdr:spPr>
        <a:xfrm>
          <a:off x="2699411" y="3332827"/>
          <a:ext cx="5293178" cy="89434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0</xdr:colOff>
      <xdr:row>10</xdr:row>
      <xdr:rowOff>28575</xdr:rowOff>
    </xdr:from>
    <xdr:ext cx="3228975" cy="847725"/>
    <xdr:sp>
      <xdr:nvSpPr>
        <xdr:cNvPr id="8" name="Shape 8"/>
        <xdr:cNvSpPr txBox="1"/>
      </xdr:nvSpPr>
      <xdr:spPr>
        <a:xfrm>
          <a:off x="3733554" y="3360719"/>
          <a:ext cx="3224893" cy="838563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22</xdr:col>
      <xdr:colOff>666750</xdr:colOff>
      <xdr:row>18</xdr:row>
      <xdr:rowOff>19050</xdr:rowOff>
    </xdr:from>
    <xdr:ext cx="3228975" cy="819150"/>
    <xdr:sp>
      <xdr:nvSpPr>
        <xdr:cNvPr id="9" name="Shape 9"/>
        <xdr:cNvSpPr txBox="1"/>
      </xdr:nvSpPr>
      <xdr:spPr>
        <a:xfrm>
          <a:off x="3733554" y="3372356"/>
          <a:ext cx="3224893" cy="815288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180975</xdr:colOff>
      <xdr:row>24</xdr:row>
      <xdr:rowOff>85725</xdr:rowOff>
    </xdr:from>
    <xdr:ext cx="2552700" cy="1066800"/>
    <xdr:sp>
      <xdr:nvSpPr>
        <xdr:cNvPr id="10" name="Shape 10"/>
        <xdr:cNvSpPr txBox="1"/>
      </xdr:nvSpPr>
      <xdr:spPr>
        <a:xfrm>
          <a:off x="4073732" y="3247867"/>
          <a:ext cx="2544536" cy="1064266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8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39</xdr:row>
      <xdr:rowOff>133350</xdr:rowOff>
    </xdr:from>
    <xdr:ext cx="9991725" cy="5295900"/>
    <xdr:graphicFrame>
      <xdr:nvGraphicFramePr>
        <xdr:cNvPr id="199463748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21</xdr:col>
      <xdr:colOff>266700</xdr:colOff>
      <xdr:row>4</xdr:row>
      <xdr:rowOff>95250</xdr:rowOff>
    </xdr:from>
    <xdr:ext cx="5295900" cy="895350"/>
    <xdr:sp>
      <xdr:nvSpPr>
        <xdr:cNvPr id="3" name="Shape 3"/>
        <xdr:cNvSpPr txBox="1"/>
      </xdr:nvSpPr>
      <xdr:spPr>
        <a:xfrm>
          <a:off x="2699411" y="3332827"/>
          <a:ext cx="5293178" cy="89434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0</xdr:colOff>
      <xdr:row>10</xdr:row>
      <xdr:rowOff>28575</xdr:rowOff>
    </xdr:from>
    <xdr:ext cx="3228975" cy="847725"/>
    <xdr:sp>
      <xdr:nvSpPr>
        <xdr:cNvPr id="4" name="Shape 4"/>
        <xdr:cNvSpPr txBox="1"/>
      </xdr:nvSpPr>
      <xdr:spPr>
        <a:xfrm>
          <a:off x="3733554" y="3360719"/>
          <a:ext cx="3224893" cy="838563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22</xdr:col>
      <xdr:colOff>666750</xdr:colOff>
      <xdr:row>18</xdr:row>
      <xdr:rowOff>19050</xdr:rowOff>
    </xdr:from>
    <xdr:ext cx="3228975" cy="819150"/>
    <xdr:sp>
      <xdr:nvSpPr>
        <xdr:cNvPr id="5" name="Shape 5"/>
        <xdr:cNvSpPr txBox="1"/>
      </xdr:nvSpPr>
      <xdr:spPr>
        <a:xfrm>
          <a:off x="3733554" y="3372356"/>
          <a:ext cx="3224893" cy="815288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400"/>
        </a:p>
      </xdr:txBody>
    </xdr:sp>
    <xdr:clientData fLocksWithSheet="0"/>
  </xdr:oneCellAnchor>
  <xdr:oneCellAnchor>
    <xdr:from>
      <xdr:col>23</xdr:col>
      <xdr:colOff>180975</xdr:colOff>
      <xdr:row>24</xdr:row>
      <xdr:rowOff>85725</xdr:rowOff>
    </xdr:from>
    <xdr:ext cx="2552700" cy="1066800"/>
    <xdr:sp>
      <xdr:nvSpPr>
        <xdr:cNvPr id="6" name="Shape 6"/>
        <xdr:cNvSpPr txBox="1"/>
      </xdr:nvSpPr>
      <xdr:spPr>
        <a:xfrm>
          <a:off x="4073732" y="3247867"/>
          <a:ext cx="2544536" cy="1064266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28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142875</xdr:colOff>
      <xdr:row>3</xdr:row>
      <xdr:rowOff>9525</xdr:rowOff>
    </xdr:from>
    <xdr:ext cx="3581400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142875</xdr:colOff>
      <xdr:row>3</xdr:row>
      <xdr:rowOff>9525</xdr:rowOff>
    </xdr:from>
    <xdr:ext cx="3581400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142875</xdr:colOff>
      <xdr:row>3</xdr:row>
      <xdr:rowOff>9525</xdr:rowOff>
    </xdr:from>
    <xdr:ext cx="3581400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71"/>
    <col customWidth="1" min="3" max="3" width="12.43"/>
    <col customWidth="1" min="4" max="4" width="12.0"/>
    <col customWidth="1" min="5" max="5" width="12.71"/>
    <col customWidth="1" min="6" max="6" width="6.86"/>
    <col customWidth="1" min="7" max="7" width="10.43"/>
    <col customWidth="1" min="8" max="10" width="11.57"/>
    <col customWidth="1" min="11" max="11" width="5.43"/>
    <col customWidth="1" min="12" max="12" width="15.71"/>
    <col customWidth="1" min="13" max="15" width="11.57"/>
    <col customWidth="1" min="16" max="16" width="5.0"/>
    <col customWidth="1" min="17" max="17" width="15.71"/>
    <col customWidth="1" min="18" max="20" width="11.57"/>
    <col customWidth="1" min="21" max="21" width="5.71"/>
    <col customWidth="1" min="22" max="22" width="15.0"/>
    <col customWidth="1" min="23" max="25" width="11.57"/>
    <col customWidth="1" min="26" max="26" width="5.71"/>
    <col customWidth="1" min="27" max="27" width="15.86"/>
    <col customWidth="1" min="28" max="30" width="11.57"/>
    <col customWidth="1" min="31" max="31" width="5.71"/>
    <col customWidth="1" min="32" max="32" width="16.0"/>
    <col customWidth="1" min="33" max="36" width="11.57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ht="15.0" customHeight="1">
      <c r="A2" s="1"/>
      <c r="B2" s="1" t="s">
        <v>0</v>
      </c>
      <c r="C2" s="1">
        <v>195.6</v>
      </c>
      <c r="D2" s="1" t="s">
        <v>1</v>
      </c>
      <c r="E2" s="1"/>
      <c r="F2" s="1"/>
      <c r="G2" s="1" t="s">
        <v>0</v>
      </c>
      <c r="H2" s="1">
        <f>C3</f>
        <v>89.05</v>
      </c>
      <c r="I2" s="1" t="s">
        <v>1</v>
      </c>
      <c r="J2" s="1"/>
      <c r="K2" s="1"/>
      <c r="L2" s="1" t="s">
        <v>0</v>
      </c>
      <c r="M2" s="1">
        <f>+H3</f>
        <v>104</v>
      </c>
      <c r="N2" s="1" t="s">
        <v>1</v>
      </c>
      <c r="O2" s="1"/>
      <c r="P2" s="1"/>
      <c r="Q2" s="1" t="s">
        <v>0</v>
      </c>
      <c r="R2" s="1">
        <f>M3</f>
        <v>152</v>
      </c>
      <c r="S2" s="1" t="s">
        <v>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ht="15.0" customHeight="1">
      <c r="A3" s="1"/>
      <c r="B3" s="1" t="s">
        <v>2</v>
      </c>
      <c r="C3" s="1">
        <v>89.05</v>
      </c>
      <c r="D3" s="1" t="s">
        <v>1</v>
      </c>
      <c r="E3" s="1"/>
      <c r="F3" s="1"/>
      <c r="G3" s="1" t="s">
        <v>2</v>
      </c>
      <c r="H3" s="1">
        <v>104.0</v>
      </c>
      <c r="I3" s="1" t="s">
        <v>1</v>
      </c>
      <c r="J3" s="1"/>
      <c r="K3" s="1"/>
      <c r="L3" s="1" t="s">
        <v>2</v>
      </c>
      <c r="M3" s="1">
        <v>152.0</v>
      </c>
      <c r="N3" s="1" t="s">
        <v>1</v>
      </c>
      <c r="O3" s="1"/>
      <c r="P3" s="1"/>
      <c r="Q3" s="1" t="s">
        <v>2</v>
      </c>
      <c r="R3" s="1">
        <v>195.6</v>
      </c>
      <c r="S3" s="1" t="s">
        <v>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ht="15.0" customHeight="1">
      <c r="A4" s="1"/>
      <c r="B4" s="1"/>
      <c r="C4" s="1"/>
      <c r="D4" s="1"/>
      <c r="E4" s="2">
        <f>D7+I7+N7</f>
        <v>8827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ht="15.75" customHeight="1">
      <c r="A5" s="1"/>
      <c r="B5" s="1" t="s">
        <v>3</v>
      </c>
      <c r="C5" s="1"/>
      <c r="D5" s="1"/>
      <c r="E5" s="1"/>
      <c r="F5" s="1"/>
      <c r="G5" s="1" t="s">
        <v>4</v>
      </c>
      <c r="H5" s="1"/>
      <c r="I5" s="1"/>
      <c r="J5" s="1"/>
      <c r="K5" s="1"/>
      <c r="L5" s="1" t="s">
        <v>5</v>
      </c>
      <c r="M5" s="1"/>
      <c r="N5" s="1"/>
      <c r="O5" s="1"/>
      <c r="P5" s="1"/>
      <c r="Q5" s="1" t="s">
        <v>6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ht="15.0" customHeight="1">
      <c r="A6" s="1"/>
      <c r="B6" s="3" t="s">
        <v>7</v>
      </c>
      <c r="C6" s="4" t="s">
        <v>8</v>
      </c>
      <c r="D6" s="5">
        <f>+E34</f>
        <v>170</v>
      </c>
      <c r="E6" s="6" t="s">
        <v>9</v>
      </c>
      <c r="F6" s="1"/>
      <c r="G6" s="3" t="s">
        <v>7</v>
      </c>
      <c r="H6" s="4" t="s">
        <v>8</v>
      </c>
      <c r="I6" s="5">
        <f>D6</f>
        <v>170</v>
      </c>
      <c r="J6" s="6" t="s">
        <v>9</v>
      </c>
      <c r="K6" s="1"/>
      <c r="L6" s="3" t="s">
        <v>7</v>
      </c>
      <c r="M6" s="4" t="s">
        <v>8</v>
      </c>
      <c r="N6" s="5">
        <f>I6-E35</f>
        <v>170</v>
      </c>
      <c r="O6" s="6" t="s">
        <v>9</v>
      </c>
      <c r="P6" s="1"/>
      <c r="Q6" s="3" t="s">
        <v>7</v>
      </c>
      <c r="R6" s="4" t="s">
        <v>8</v>
      </c>
      <c r="S6" s="5">
        <f>N6</f>
        <v>170</v>
      </c>
      <c r="T6" s="6" t="s">
        <v>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ht="15.0" customHeight="1">
      <c r="A7" s="7"/>
      <c r="B7" s="8" t="s">
        <v>10</v>
      </c>
      <c r="C7" s="9" t="s">
        <v>11</v>
      </c>
      <c r="D7" s="2">
        <v>2200.0</v>
      </c>
      <c r="E7" s="10" t="s">
        <v>1</v>
      </c>
      <c r="F7" s="1"/>
      <c r="G7" s="8" t="s">
        <v>10</v>
      </c>
      <c r="H7" s="9" t="s">
        <v>11</v>
      </c>
      <c r="I7" s="2">
        <v>2327.0</v>
      </c>
      <c r="J7" s="10" t="s">
        <v>1</v>
      </c>
      <c r="K7" s="1"/>
      <c r="L7" s="8" t="s">
        <v>10</v>
      </c>
      <c r="M7" s="9" t="s">
        <v>11</v>
      </c>
      <c r="N7" s="2">
        <v>4300.0</v>
      </c>
      <c r="O7" s="10" t="s">
        <v>1</v>
      </c>
      <c r="P7" s="1"/>
      <c r="Q7" s="8" t="s">
        <v>10</v>
      </c>
      <c r="R7" s="9" t="s">
        <v>11</v>
      </c>
      <c r="S7" s="2">
        <v>4427.0</v>
      </c>
      <c r="T7" s="10" t="s">
        <v>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ht="15.0" customHeight="1">
      <c r="B8" s="8" t="s">
        <v>12</v>
      </c>
      <c r="C8" s="9" t="s">
        <v>13</v>
      </c>
      <c r="D8" s="11">
        <v>400.0</v>
      </c>
      <c r="E8" s="10" t="s">
        <v>14</v>
      </c>
      <c r="F8" s="1"/>
      <c r="G8" s="8" t="s">
        <v>12</v>
      </c>
      <c r="H8" s="9" t="s">
        <v>13</v>
      </c>
      <c r="I8" s="11">
        <v>400.0</v>
      </c>
      <c r="J8" s="10" t="s">
        <v>14</v>
      </c>
      <c r="K8" s="1"/>
      <c r="L8" s="8" t="s">
        <v>12</v>
      </c>
      <c r="M8" s="9" t="s">
        <v>13</v>
      </c>
      <c r="N8" s="11">
        <v>407.16</v>
      </c>
      <c r="O8" s="10" t="s">
        <v>14</v>
      </c>
      <c r="P8" s="1"/>
      <c r="Q8" s="8" t="s">
        <v>12</v>
      </c>
      <c r="R8" s="9" t="s">
        <v>13</v>
      </c>
      <c r="S8" s="11">
        <v>407.16</v>
      </c>
      <c r="T8" s="10" t="s">
        <v>14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ht="15.0" customHeight="1">
      <c r="B9" s="8" t="s">
        <v>15</v>
      </c>
      <c r="C9" s="9" t="s">
        <v>16</v>
      </c>
      <c r="D9" s="12">
        <f>+(D6/1000)/(0.25*PI()*POWER(D8/1000,2))</f>
        <v>1.352817016</v>
      </c>
      <c r="E9" s="10" t="s">
        <v>17</v>
      </c>
      <c r="F9" s="1"/>
      <c r="G9" s="8" t="s">
        <v>15</v>
      </c>
      <c r="H9" s="9" t="s">
        <v>16</v>
      </c>
      <c r="I9" s="12">
        <f>+(I6/1000)/(0.25*PI()*POWER(I8/1000,2))</f>
        <v>1.352817016</v>
      </c>
      <c r="J9" s="10" t="s">
        <v>17</v>
      </c>
      <c r="K9" s="1"/>
      <c r="L9" s="8" t="s">
        <v>15</v>
      </c>
      <c r="M9" s="9" t="s">
        <v>16</v>
      </c>
      <c r="N9" s="12">
        <f>+(N6/1000)/(0.25*PI()*POWER(N8/1000,2))</f>
        <v>1.30565618</v>
      </c>
      <c r="O9" s="10" t="s">
        <v>17</v>
      </c>
      <c r="P9" s="1"/>
      <c r="Q9" s="8" t="s">
        <v>15</v>
      </c>
      <c r="R9" s="9" t="s">
        <v>16</v>
      </c>
      <c r="S9" s="12">
        <f>+(S6/1000)/(0.25*PI()*POWER(S8/1000,2))</f>
        <v>1.30565618</v>
      </c>
      <c r="T9" s="10" t="s">
        <v>17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ht="15.0" customHeight="1">
      <c r="B10" s="8" t="s">
        <v>18</v>
      </c>
      <c r="C10" s="9" t="s">
        <v>19</v>
      </c>
      <c r="D10" s="13">
        <v>1.14E-6</v>
      </c>
      <c r="E10" s="14" t="s">
        <v>20</v>
      </c>
      <c r="F10" s="1"/>
      <c r="G10" s="8" t="s">
        <v>18</v>
      </c>
      <c r="H10" s="9" t="s">
        <v>19</v>
      </c>
      <c r="I10" s="13">
        <v>1.14E-6</v>
      </c>
      <c r="J10" s="14" t="s">
        <v>20</v>
      </c>
      <c r="K10" s="1"/>
      <c r="L10" s="8" t="s">
        <v>18</v>
      </c>
      <c r="M10" s="9" t="s">
        <v>19</v>
      </c>
      <c r="N10" s="13">
        <v>1.14E-6</v>
      </c>
      <c r="O10" s="14" t="s">
        <v>20</v>
      </c>
      <c r="P10" s="1"/>
      <c r="Q10" s="8" t="s">
        <v>18</v>
      </c>
      <c r="R10" s="9" t="s">
        <v>19</v>
      </c>
      <c r="S10" s="13">
        <v>1.14E-6</v>
      </c>
      <c r="T10" s="14" t="s">
        <v>20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ht="15.0" customHeight="1">
      <c r="B11" s="8" t="s">
        <v>21</v>
      </c>
      <c r="C11" s="9" t="s">
        <v>22</v>
      </c>
      <c r="D11" s="1">
        <f>(0.35/1000)</f>
        <v>0.00035</v>
      </c>
      <c r="E11" s="10" t="s">
        <v>1</v>
      </c>
      <c r="F11" s="1"/>
      <c r="G11" s="8" t="s">
        <v>21</v>
      </c>
      <c r="H11" s="9" t="s">
        <v>22</v>
      </c>
      <c r="I11" s="1">
        <f>(0.35/1000)</f>
        <v>0.00035</v>
      </c>
      <c r="J11" s="10" t="s">
        <v>1</v>
      </c>
      <c r="K11" s="1"/>
      <c r="L11" s="8" t="s">
        <v>21</v>
      </c>
      <c r="M11" s="9" t="s">
        <v>22</v>
      </c>
      <c r="N11" s="1">
        <f>0.0015/1000</f>
        <v>0.0000015</v>
      </c>
      <c r="O11" s="10" t="s">
        <v>1</v>
      </c>
      <c r="P11" s="1"/>
      <c r="Q11" s="8" t="s">
        <v>21</v>
      </c>
      <c r="R11" s="9" t="s">
        <v>22</v>
      </c>
      <c r="S11" s="1">
        <f>+N11</f>
        <v>0.0000015</v>
      </c>
      <c r="T11" s="10" t="s">
        <v>1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ht="15.0" customHeight="1">
      <c r="A12" s="1"/>
      <c r="B12" s="8" t="s">
        <v>23</v>
      </c>
      <c r="C12" s="9" t="s">
        <v>24</v>
      </c>
      <c r="D12" s="13">
        <f>+D11/(D8/1000)</f>
        <v>0.000875</v>
      </c>
      <c r="E12" s="10"/>
      <c r="F12" s="1"/>
      <c r="G12" s="8" t="s">
        <v>23</v>
      </c>
      <c r="H12" s="9" t="s">
        <v>24</v>
      </c>
      <c r="I12" s="13">
        <f>+I11/(I8/1000)</f>
        <v>0.000875</v>
      </c>
      <c r="J12" s="10"/>
      <c r="K12" s="1"/>
      <c r="L12" s="8" t="s">
        <v>23</v>
      </c>
      <c r="M12" s="9" t="s">
        <v>24</v>
      </c>
      <c r="N12" s="13">
        <f>+N11/(N8/1000)</f>
        <v>0.000003684055408</v>
      </c>
      <c r="O12" s="10"/>
      <c r="P12" s="1"/>
      <c r="Q12" s="8" t="s">
        <v>23</v>
      </c>
      <c r="R12" s="9" t="s">
        <v>24</v>
      </c>
      <c r="S12" s="13">
        <f>+S11/(S8/1000)</f>
        <v>0.000003684055408</v>
      </c>
      <c r="T12" s="1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ht="15.0" customHeight="1">
      <c r="A13" s="1"/>
      <c r="B13" s="8" t="s">
        <v>25</v>
      </c>
      <c r="C13" s="9" t="s">
        <v>26</v>
      </c>
      <c r="D13" s="2">
        <f>(D9*D8/1000)/(D10)</f>
        <v>474672.6373</v>
      </c>
      <c r="E13" s="10"/>
      <c r="F13" s="1"/>
      <c r="G13" s="8" t="s">
        <v>25</v>
      </c>
      <c r="H13" s="9" t="s">
        <v>26</v>
      </c>
      <c r="I13" s="2">
        <f>(I9*I8/1000)/(I10)</f>
        <v>474672.6373</v>
      </c>
      <c r="J13" s="10"/>
      <c r="K13" s="1"/>
      <c r="L13" s="8" t="s">
        <v>25</v>
      </c>
      <c r="M13" s="9" t="s">
        <v>26</v>
      </c>
      <c r="N13" s="2">
        <f>(N9*N8/1000)/(N10)</f>
        <v>466325.4124</v>
      </c>
      <c r="O13" s="10"/>
      <c r="P13" s="1"/>
      <c r="Q13" s="8" t="s">
        <v>25</v>
      </c>
      <c r="R13" s="9" t="s">
        <v>26</v>
      </c>
      <c r="S13" s="2">
        <f>(S9*S8/1000)/(S10)</f>
        <v>466325.4124</v>
      </c>
      <c r="T13" s="10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ht="15.0" customHeight="1">
      <c r="A14" s="1"/>
      <c r="B14" s="8" t="s">
        <v>27</v>
      </c>
      <c r="C14" s="9" t="s">
        <v>28</v>
      </c>
      <c r="D14" s="1">
        <v>14.0</v>
      </c>
      <c r="E14" s="10"/>
      <c r="F14" s="1"/>
      <c r="G14" s="8" t="s">
        <v>27</v>
      </c>
      <c r="H14" s="9" t="s">
        <v>28</v>
      </c>
      <c r="I14" s="1">
        <v>14.0</v>
      </c>
      <c r="J14" s="10"/>
      <c r="K14" s="1"/>
      <c r="L14" s="8" t="s">
        <v>27</v>
      </c>
      <c r="M14" s="9" t="s">
        <v>28</v>
      </c>
      <c r="N14" s="1">
        <v>20.0</v>
      </c>
      <c r="O14" s="10"/>
      <c r="P14" s="1"/>
      <c r="Q14" s="8" t="s">
        <v>27</v>
      </c>
      <c r="R14" s="9" t="s">
        <v>28</v>
      </c>
      <c r="S14" s="1">
        <v>22.0</v>
      </c>
      <c r="T14" s="1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ht="15.0" customHeight="1">
      <c r="A15" s="1"/>
      <c r="B15" s="8"/>
      <c r="C15" s="1"/>
      <c r="D15" s="1"/>
      <c r="E15" s="10"/>
      <c r="F15" s="1"/>
      <c r="G15" s="8"/>
      <c r="H15" s="1"/>
      <c r="I15" s="1"/>
      <c r="J15" s="10"/>
      <c r="K15" s="1"/>
      <c r="L15" s="8"/>
      <c r="M15" s="1"/>
      <c r="N15" s="1"/>
      <c r="O15" s="10"/>
      <c r="P15" s="1"/>
      <c r="Q15" s="8"/>
      <c r="R15" s="1"/>
      <c r="S15" s="1"/>
      <c r="T15" s="10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ht="15.0" customHeight="1">
      <c r="A16" s="1"/>
      <c r="B16" s="15" t="s">
        <v>29</v>
      </c>
      <c r="C16" s="16" t="s">
        <v>30</v>
      </c>
      <c r="D16" s="16" t="s">
        <v>31</v>
      </c>
      <c r="E16" s="17" t="s">
        <v>29</v>
      </c>
      <c r="F16" s="1"/>
      <c r="G16" s="15" t="s">
        <v>29</v>
      </c>
      <c r="H16" s="16" t="s">
        <v>30</v>
      </c>
      <c r="I16" s="16" t="s">
        <v>31</v>
      </c>
      <c r="J16" s="17" t="s">
        <v>29</v>
      </c>
      <c r="K16" s="1"/>
      <c r="L16" s="15" t="s">
        <v>29</v>
      </c>
      <c r="M16" s="16" t="s">
        <v>30</v>
      </c>
      <c r="N16" s="16" t="s">
        <v>31</v>
      </c>
      <c r="O16" s="17" t="s">
        <v>29</v>
      </c>
      <c r="P16" s="1"/>
      <c r="Q16" s="15" t="s">
        <v>29</v>
      </c>
      <c r="R16" s="16" t="s">
        <v>30</v>
      </c>
      <c r="S16" s="16" t="s">
        <v>31</v>
      </c>
      <c r="T16" s="17" t="s">
        <v>29</v>
      </c>
      <c r="U16" s="1"/>
      <c r="V16" s="1"/>
      <c r="W16" s="1"/>
      <c r="X16" s="1"/>
      <c r="Y16" s="18" t="s">
        <v>32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ht="15.0" customHeight="1">
      <c r="A17" s="1"/>
      <c r="B17" s="8"/>
      <c r="C17" s="19">
        <f>+D13</f>
        <v>474672.6373</v>
      </c>
      <c r="D17" s="1"/>
      <c r="E17" s="10"/>
      <c r="F17" s="1"/>
      <c r="G17" s="8"/>
      <c r="H17" s="19">
        <f>+I13</f>
        <v>474672.6373</v>
      </c>
      <c r="I17" s="1"/>
      <c r="J17" s="10"/>
      <c r="K17" s="1"/>
      <c r="L17" s="8"/>
      <c r="M17" s="19">
        <f>+N13</f>
        <v>466325.4124</v>
      </c>
      <c r="N17" s="1"/>
      <c r="O17" s="10"/>
      <c r="P17" s="1"/>
      <c r="Q17" s="8"/>
      <c r="R17" s="19">
        <f>+S13</f>
        <v>466325.4124</v>
      </c>
      <c r="S17" s="1"/>
      <c r="T17" s="10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ht="15.0" customHeight="1">
      <c r="A18" s="1"/>
      <c r="B18" s="20">
        <v>0.001</v>
      </c>
      <c r="C18" s="9">
        <f>1/(SQRT(B18))</f>
        <v>31.6227766</v>
      </c>
      <c r="D18" s="9">
        <f t="shared" ref="D18:D27" si="1">-2*LOG10($D$11/(3.7*($D$8/1000))+(2.51*C18)/$C$17)</f>
        <v>6.787875748</v>
      </c>
      <c r="E18" s="21">
        <f t="shared" ref="E18:E27" si="2">1/(POWER(D18,2))</f>
        <v>0.02170362275</v>
      </c>
      <c r="F18" s="1"/>
      <c r="G18" s="20">
        <v>0.001</v>
      </c>
      <c r="H18" s="9">
        <f>1/(SQRT(G18))</f>
        <v>31.6227766</v>
      </c>
      <c r="I18" s="9">
        <f t="shared" ref="I18:I27" si="3">-2*LOG10($D$11/(3.7*($D$8/1000))+(2.51*H18)/$C$17)</f>
        <v>6.787875748</v>
      </c>
      <c r="J18" s="21">
        <f t="shared" ref="J18:J27" si="4">1/(POWER(I18,2))</f>
        <v>0.02170362275</v>
      </c>
      <c r="K18" s="1"/>
      <c r="L18" s="20">
        <v>0.001</v>
      </c>
      <c r="M18" s="9">
        <f>1/(SQRT(L18))</f>
        <v>31.6227766</v>
      </c>
      <c r="N18" s="9">
        <f t="shared" ref="N18:N27" si="5">-2*LOG10($D$11/(3.7*($D$8/1000))+(2.51*M18)/$C$17)</f>
        <v>6.787875748</v>
      </c>
      <c r="O18" s="21">
        <f t="shared" ref="O18:O27" si="6">1/(POWER(N18,2))</f>
        <v>0.02170362275</v>
      </c>
      <c r="P18" s="1"/>
      <c r="Q18" s="20">
        <v>0.001</v>
      </c>
      <c r="R18" s="9">
        <f>1/(SQRT(Q18))</f>
        <v>31.6227766</v>
      </c>
      <c r="S18" s="9">
        <f t="shared" ref="S18:S27" si="7">-2*LOG10($D$11/(3.7*($D$8/1000))+(2.51*R18)/$C$17)</f>
        <v>6.787875748</v>
      </c>
      <c r="T18" s="21">
        <f t="shared" ref="T18:T27" si="8">1/(POWER(S18,2))</f>
        <v>0.02170362275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ht="15.0" customHeight="1">
      <c r="A19" s="1"/>
      <c r="B19" s="20">
        <f t="shared" ref="B19:B27" si="9">+E18</f>
        <v>0.02170362275</v>
      </c>
      <c r="C19" s="9">
        <f t="shared" ref="C19:C27" si="10">+C18-((D18-C18)/(E18-1))</f>
        <v>6.236910487</v>
      </c>
      <c r="D19" s="9">
        <f t="shared" si="1"/>
        <v>7.138990876</v>
      </c>
      <c r="E19" s="21">
        <f t="shared" si="2"/>
        <v>0.01962123531</v>
      </c>
      <c r="F19" s="1"/>
      <c r="G19" s="20">
        <f t="shared" ref="G19:G27" si="11">+J18</f>
        <v>0.02170362275</v>
      </c>
      <c r="H19" s="9">
        <f t="shared" ref="H19:H27" si="12">+H18-((I18-H18)/(J18-1))</f>
        <v>6.236910487</v>
      </c>
      <c r="I19" s="9">
        <f t="shared" si="3"/>
        <v>7.138990876</v>
      </c>
      <c r="J19" s="21">
        <f t="shared" si="4"/>
        <v>0.01962123531</v>
      </c>
      <c r="K19" s="1"/>
      <c r="L19" s="20">
        <f t="shared" ref="L19:L27" si="13">+O18</f>
        <v>0.02170362275</v>
      </c>
      <c r="M19" s="9">
        <f t="shared" ref="M19:M27" si="14">+M18-((N18-M18)/(O18-1))</f>
        <v>6.236910487</v>
      </c>
      <c r="N19" s="9">
        <f t="shared" si="5"/>
        <v>7.138990876</v>
      </c>
      <c r="O19" s="21">
        <f t="shared" si="6"/>
        <v>0.01962123531</v>
      </c>
      <c r="P19" s="1"/>
      <c r="Q19" s="20">
        <f t="shared" ref="Q19:Q27" si="15">+T18</f>
        <v>0.02170362275</v>
      </c>
      <c r="R19" s="9">
        <f t="shared" ref="R19:R27" si="16">+R18-((S18-R18)/(T18-1))</f>
        <v>6.236910487</v>
      </c>
      <c r="S19" s="9">
        <f t="shared" si="7"/>
        <v>7.138990876</v>
      </c>
      <c r="T19" s="21">
        <f t="shared" si="8"/>
        <v>0.01962123531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ht="15.0" customHeight="1">
      <c r="A20" s="1"/>
      <c r="B20" s="20">
        <f t="shared" si="9"/>
        <v>0.01962123531</v>
      </c>
      <c r="C20" s="9">
        <f t="shared" si="10"/>
        <v>7.157045053</v>
      </c>
      <c r="D20" s="9">
        <f t="shared" si="1"/>
        <v>7.123447372</v>
      </c>
      <c r="E20" s="21">
        <f t="shared" si="2"/>
        <v>0.01970695659</v>
      </c>
      <c r="F20" s="1"/>
      <c r="G20" s="20">
        <f t="shared" si="11"/>
        <v>0.01962123531</v>
      </c>
      <c r="H20" s="9">
        <f t="shared" si="12"/>
        <v>7.157045053</v>
      </c>
      <c r="I20" s="9">
        <f t="shared" si="3"/>
        <v>7.123447372</v>
      </c>
      <c r="J20" s="21">
        <f t="shared" si="4"/>
        <v>0.01970695659</v>
      </c>
      <c r="K20" s="1"/>
      <c r="L20" s="20">
        <f t="shared" si="13"/>
        <v>0.01962123531</v>
      </c>
      <c r="M20" s="9">
        <f t="shared" si="14"/>
        <v>7.157045053</v>
      </c>
      <c r="N20" s="9">
        <f t="shared" si="5"/>
        <v>7.123447372</v>
      </c>
      <c r="O20" s="21">
        <f t="shared" si="6"/>
        <v>0.01970695659</v>
      </c>
      <c r="P20" s="1"/>
      <c r="Q20" s="20">
        <f t="shared" si="15"/>
        <v>0.01962123531</v>
      </c>
      <c r="R20" s="9">
        <f t="shared" si="16"/>
        <v>7.157045053</v>
      </c>
      <c r="S20" s="9">
        <f t="shared" si="7"/>
        <v>7.123447372</v>
      </c>
      <c r="T20" s="21">
        <f t="shared" si="8"/>
        <v>0.01970695659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ht="15.0" customHeight="1">
      <c r="A21" s="1"/>
      <c r="B21" s="20">
        <f t="shared" si="9"/>
        <v>0.01970695659</v>
      </c>
      <c r="C21" s="9">
        <f t="shared" si="10"/>
        <v>7.122771953</v>
      </c>
      <c r="D21" s="9">
        <f t="shared" si="1"/>
        <v>7.124021375</v>
      </c>
      <c r="E21" s="21">
        <f t="shared" si="2"/>
        <v>0.01970378102</v>
      </c>
      <c r="F21" s="1"/>
      <c r="G21" s="20">
        <f t="shared" si="11"/>
        <v>0.01970695659</v>
      </c>
      <c r="H21" s="9">
        <f t="shared" si="12"/>
        <v>7.122771953</v>
      </c>
      <c r="I21" s="9">
        <f t="shared" si="3"/>
        <v>7.124021375</v>
      </c>
      <c r="J21" s="21">
        <f t="shared" si="4"/>
        <v>0.01970378102</v>
      </c>
      <c r="K21" s="1"/>
      <c r="L21" s="20">
        <f t="shared" si="13"/>
        <v>0.01970695659</v>
      </c>
      <c r="M21" s="9">
        <f t="shared" si="14"/>
        <v>7.122771953</v>
      </c>
      <c r="N21" s="9">
        <f t="shared" si="5"/>
        <v>7.124021375</v>
      </c>
      <c r="O21" s="21">
        <f t="shared" si="6"/>
        <v>0.01970378102</v>
      </c>
      <c r="P21" s="1"/>
      <c r="Q21" s="20">
        <f t="shared" si="15"/>
        <v>0.01970695659</v>
      </c>
      <c r="R21" s="9">
        <f t="shared" si="16"/>
        <v>7.122771953</v>
      </c>
      <c r="S21" s="9">
        <f t="shared" si="7"/>
        <v>7.124021375</v>
      </c>
      <c r="T21" s="21">
        <f t="shared" si="8"/>
        <v>0.01970378102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ht="15.0" customHeight="1">
      <c r="A22" s="1"/>
      <c r="B22" s="20">
        <f t="shared" si="9"/>
        <v>0.01970378102</v>
      </c>
      <c r="C22" s="9">
        <f t="shared" si="10"/>
        <v>7.124046488</v>
      </c>
      <c r="D22" s="9">
        <f t="shared" si="1"/>
        <v>7.124000022</v>
      </c>
      <c r="E22" s="21">
        <f t="shared" si="2"/>
        <v>0.01970389914</v>
      </c>
      <c r="F22" s="1"/>
      <c r="G22" s="20">
        <f t="shared" si="11"/>
        <v>0.01970378102</v>
      </c>
      <c r="H22" s="9">
        <f t="shared" si="12"/>
        <v>7.124046488</v>
      </c>
      <c r="I22" s="9">
        <f t="shared" si="3"/>
        <v>7.124000022</v>
      </c>
      <c r="J22" s="21">
        <f t="shared" si="4"/>
        <v>0.01970389914</v>
      </c>
      <c r="K22" s="1"/>
      <c r="L22" s="20">
        <f t="shared" si="13"/>
        <v>0.01970378102</v>
      </c>
      <c r="M22" s="9">
        <f t="shared" si="14"/>
        <v>7.124046488</v>
      </c>
      <c r="N22" s="9">
        <f t="shared" si="5"/>
        <v>7.124000022</v>
      </c>
      <c r="O22" s="21">
        <f t="shared" si="6"/>
        <v>0.01970389914</v>
      </c>
      <c r="P22" s="1"/>
      <c r="Q22" s="20">
        <f t="shared" si="15"/>
        <v>0.01970378102</v>
      </c>
      <c r="R22" s="9">
        <f t="shared" si="16"/>
        <v>7.124046488</v>
      </c>
      <c r="S22" s="9">
        <f t="shared" si="7"/>
        <v>7.124000022</v>
      </c>
      <c r="T22" s="21">
        <f t="shared" si="8"/>
        <v>0.01970389914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ht="15.0" customHeight="1">
      <c r="A23" s="1"/>
      <c r="B23" s="20">
        <f t="shared" si="9"/>
        <v>0.01970389914</v>
      </c>
      <c r="C23" s="9">
        <f t="shared" si="10"/>
        <v>7.123999088</v>
      </c>
      <c r="D23" s="9">
        <f t="shared" si="1"/>
        <v>7.124000816</v>
      </c>
      <c r="E23" s="21">
        <f t="shared" si="2"/>
        <v>0.01970389474</v>
      </c>
      <c r="F23" s="1"/>
      <c r="G23" s="20">
        <f t="shared" si="11"/>
        <v>0.01970389914</v>
      </c>
      <c r="H23" s="9">
        <f t="shared" si="12"/>
        <v>7.123999088</v>
      </c>
      <c r="I23" s="9">
        <f t="shared" si="3"/>
        <v>7.124000816</v>
      </c>
      <c r="J23" s="21">
        <f t="shared" si="4"/>
        <v>0.01970389474</v>
      </c>
      <c r="K23" s="1"/>
      <c r="L23" s="20">
        <f t="shared" si="13"/>
        <v>0.01970389914</v>
      </c>
      <c r="M23" s="9">
        <f t="shared" si="14"/>
        <v>7.123999088</v>
      </c>
      <c r="N23" s="9">
        <f t="shared" si="5"/>
        <v>7.124000816</v>
      </c>
      <c r="O23" s="21">
        <f t="shared" si="6"/>
        <v>0.01970389474</v>
      </c>
      <c r="P23" s="1"/>
      <c r="Q23" s="20">
        <f t="shared" si="15"/>
        <v>0.01970389914</v>
      </c>
      <c r="R23" s="9">
        <f t="shared" si="16"/>
        <v>7.123999088</v>
      </c>
      <c r="S23" s="9">
        <f t="shared" si="7"/>
        <v>7.124000816</v>
      </c>
      <c r="T23" s="21">
        <f t="shared" si="8"/>
        <v>0.01970389474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ht="15.0" customHeight="1">
      <c r="A24" s="1"/>
      <c r="B24" s="20">
        <f t="shared" si="9"/>
        <v>0.01970389474</v>
      </c>
      <c r="C24" s="9">
        <f t="shared" si="10"/>
        <v>7.124000851</v>
      </c>
      <c r="D24" s="9">
        <f t="shared" si="1"/>
        <v>7.124000787</v>
      </c>
      <c r="E24" s="21">
        <f t="shared" si="2"/>
        <v>0.01970389491</v>
      </c>
      <c r="F24" s="1"/>
      <c r="G24" s="20">
        <f t="shared" si="11"/>
        <v>0.01970389474</v>
      </c>
      <c r="H24" s="9">
        <f t="shared" si="12"/>
        <v>7.124000851</v>
      </c>
      <c r="I24" s="9">
        <f t="shared" si="3"/>
        <v>7.124000787</v>
      </c>
      <c r="J24" s="21">
        <f t="shared" si="4"/>
        <v>0.01970389491</v>
      </c>
      <c r="K24" s="1"/>
      <c r="L24" s="20">
        <f t="shared" si="13"/>
        <v>0.01970389474</v>
      </c>
      <c r="M24" s="9">
        <f t="shared" si="14"/>
        <v>7.124000851</v>
      </c>
      <c r="N24" s="9">
        <f t="shared" si="5"/>
        <v>7.124000787</v>
      </c>
      <c r="O24" s="21">
        <f t="shared" si="6"/>
        <v>0.01970389491</v>
      </c>
      <c r="P24" s="1"/>
      <c r="Q24" s="20">
        <f t="shared" si="15"/>
        <v>0.01970389474</v>
      </c>
      <c r="R24" s="9">
        <f t="shared" si="16"/>
        <v>7.124000851</v>
      </c>
      <c r="S24" s="9">
        <f t="shared" si="7"/>
        <v>7.124000787</v>
      </c>
      <c r="T24" s="21">
        <f t="shared" si="8"/>
        <v>0.01970389491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ht="15.0" customHeight="1">
      <c r="A25" s="1"/>
      <c r="B25" s="20">
        <f t="shared" si="9"/>
        <v>0.01970389491</v>
      </c>
      <c r="C25" s="9">
        <f t="shared" si="10"/>
        <v>7.124000786</v>
      </c>
      <c r="D25" s="9">
        <f t="shared" si="1"/>
        <v>7.124000788</v>
      </c>
      <c r="E25" s="21">
        <f t="shared" si="2"/>
        <v>0.0197038949</v>
      </c>
      <c r="F25" s="1"/>
      <c r="G25" s="20">
        <f t="shared" si="11"/>
        <v>0.01970389491</v>
      </c>
      <c r="H25" s="9">
        <f t="shared" si="12"/>
        <v>7.124000786</v>
      </c>
      <c r="I25" s="9">
        <f t="shared" si="3"/>
        <v>7.124000788</v>
      </c>
      <c r="J25" s="21">
        <f t="shared" si="4"/>
        <v>0.0197038949</v>
      </c>
      <c r="K25" s="1"/>
      <c r="L25" s="20">
        <f t="shared" si="13"/>
        <v>0.01970389491</v>
      </c>
      <c r="M25" s="9">
        <f t="shared" si="14"/>
        <v>7.124000786</v>
      </c>
      <c r="N25" s="9">
        <f t="shared" si="5"/>
        <v>7.124000788</v>
      </c>
      <c r="O25" s="21">
        <f t="shared" si="6"/>
        <v>0.0197038949</v>
      </c>
      <c r="P25" s="1"/>
      <c r="Q25" s="20">
        <f t="shared" si="15"/>
        <v>0.01970389491</v>
      </c>
      <c r="R25" s="9">
        <f t="shared" si="16"/>
        <v>7.124000786</v>
      </c>
      <c r="S25" s="9">
        <f t="shared" si="7"/>
        <v>7.124000788</v>
      </c>
      <c r="T25" s="21">
        <f t="shared" si="8"/>
        <v>0.0197038949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ht="15.0" customHeight="1">
      <c r="A26" s="1"/>
      <c r="B26" s="20">
        <f t="shared" si="9"/>
        <v>0.0197038949</v>
      </c>
      <c r="C26" s="9">
        <f t="shared" si="10"/>
        <v>7.124000788</v>
      </c>
      <c r="D26" s="9">
        <f t="shared" si="1"/>
        <v>7.124000788</v>
      </c>
      <c r="E26" s="21">
        <f t="shared" si="2"/>
        <v>0.0197038949</v>
      </c>
      <c r="F26" s="1"/>
      <c r="G26" s="20">
        <f t="shared" si="11"/>
        <v>0.0197038949</v>
      </c>
      <c r="H26" s="9">
        <f t="shared" si="12"/>
        <v>7.124000788</v>
      </c>
      <c r="I26" s="9">
        <f t="shared" si="3"/>
        <v>7.124000788</v>
      </c>
      <c r="J26" s="21">
        <f t="shared" si="4"/>
        <v>0.0197038949</v>
      </c>
      <c r="K26" s="1"/>
      <c r="L26" s="20">
        <f t="shared" si="13"/>
        <v>0.0197038949</v>
      </c>
      <c r="M26" s="9">
        <f t="shared" si="14"/>
        <v>7.124000788</v>
      </c>
      <c r="N26" s="9">
        <f t="shared" si="5"/>
        <v>7.124000788</v>
      </c>
      <c r="O26" s="21">
        <f t="shared" si="6"/>
        <v>0.0197038949</v>
      </c>
      <c r="P26" s="1"/>
      <c r="Q26" s="20">
        <f t="shared" si="15"/>
        <v>0.0197038949</v>
      </c>
      <c r="R26" s="9">
        <f t="shared" si="16"/>
        <v>7.124000788</v>
      </c>
      <c r="S26" s="9">
        <f t="shared" si="7"/>
        <v>7.124000788</v>
      </c>
      <c r="T26" s="21">
        <f t="shared" si="8"/>
        <v>0.0197038949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ht="15.0" customHeight="1">
      <c r="A27" s="1"/>
      <c r="B27" s="20">
        <f t="shared" si="9"/>
        <v>0.0197038949</v>
      </c>
      <c r="C27" s="9">
        <f t="shared" si="10"/>
        <v>7.124000788</v>
      </c>
      <c r="D27" s="9">
        <f t="shared" si="1"/>
        <v>7.124000788</v>
      </c>
      <c r="E27" s="21">
        <f t="shared" si="2"/>
        <v>0.0197038949</v>
      </c>
      <c r="F27" s="1"/>
      <c r="G27" s="20">
        <f t="shared" si="11"/>
        <v>0.0197038949</v>
      </c>
      <c r="H27" s="9">
        <f t="shared" si="12"/>
        <v>7.124000788</v>
      </c>
      <c r="I27" s="9">
        <f t="shared" si="3"/>
        <v>7.124000788</v>
      </c>
      <c r="J27" s="21">
        <f t="shared" si="4"/>
        <v>0.0197038949</v>
      </c>
      <c r="K27" s="1"/>
      <c r="L27" s="20">
        <f t="shared" si="13"/>
        <v>0.0197038949</v>
      </c>
      <c r="M27" s="9">
        <f t="shared" si="14"/>
        <v>7.124000788</v>
      </c>
      <c r="N27" s="9">
        <f t="shared" si="5"/>
        <v>7.124000788</v>
      </c>
      <c r="O27" s="21">
        <f t="shared" si="6"/>
        <v>0.0197038949</v>
      </c>
      <c r="P27" s="1"/>
      <c r="Q27" s="20">
        <f t="shared" si="15"/>
        <v>0.0197038949</v>
      </c>
      <c r="R27" s="9">
        <f t="shared" si="16"/>
        <v>7.124000788</v>
      </c>
      <c r="S27" s="9">
        <f t="shared" si="7"/>
        <v>7.124000788</v>
      </c>
      <c r="T27" s="21">
        <f t="shared" si="8"/>
        <v>0.0197038949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ht="15.0" customHeight="1">
      <c r="A28" s="1"/>
      <c r="B28" s="8"/>
      <c r="C28" s="22" t="s">
        <v>33</v>
      </c>
      <c r="D28" s="11">
        <f>+D14*((POWER(D9,2))/(2*9.81))</f>
        <v>1.305891657</v>
      </c>
      <c r="E28" s="10" t="s">
        <v>1</v>
      </c>
      <c r="F28" s="1"/>
      <c r="G28" s="8"/>
      <c r="H28" s="22" t="s">
        <v>34</v>
      </c>
      <c r="I28" s="11">
        <f>+I14*((POWER(I9,2))/(2*9.81))</f>
        <v>1.305891657</v>
      </c>
      <c r="J28" s="10" t="s">
        <v>1</v>
      </c>
      <c r="K28" s="1"/>
      <c r="L28" s="8"/>
      <c r="M28" s="22" t="s">
        <v>35</v>
      </c>
      <c r="N28" s="11">
        <f>+N14*((POWER(N9,2))/(2*9.81))</f>
        <v>1.737755413</v>
      </c>
      <c r="O28" s="10" t="s">
        <v>1</v>
      </c>
      <c r="P28" s="1"/>
      <c r="Q28" s="8"/>
      <c r="R28" s="22" t="s">
        <v>36</v>
      </c>
      <c r="S28" s="11">
        <f>+S14*((POWER(S9,2))/(2*9.81))</f>
        <v>1.911530954</v>
      </c>
      <c r="T28" s="10" t="s">
        <v>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ht="15.0" customHeight="1">
      <c r="A29" s="1"/>
      <c r="B29" s="8"/>
      <c r="C29" s="9" t="s">
        <v>37</v>
      </c>
      <c r="D29" s="11">
        <f>+E27*(D7/(D8/1000))*(POWER(D9,2)/(2*9.81))</f>
        <v>10.10866684</v>
      </c>
      <c r="E29" s="10" t="s">
        <v>1</v>
      </c>
      <c r="F29" s="1"/>
      <c r="G29" s="8"/>
      <c r="H29" s="9" t="s">
        <v>37</v>
      </c>
      <c r="I29" s="11">
        <f>+J27*(I7/(I8/1000))*(POWER(I9,2)/(2*9.81))</f>
        <v>10.69221261</v>
      </c>
      <c r="J29" s="10" t="s">
        <v>1</v>
      </c>
      <c r="K29" s="1"/>
      <c r="L29" s="8"/>
      <c r="M29" s="9" t="s">
        <v>37</v>
      </c>
      <c r="N29" s="11">
        <f>+O27*(N7/(N8/1000))*(POWER(N9,2)/(2*9.81))</f>
        <v>18.08065196</v>
      </c>
      <c r="O29" s="10" t="s">
        <v>1</v>
      </c>
      <c r="P29" s="1"/>
      <c r="Q29" s="8"/>
      <c r="R29" s="9" t="s">
        <v>37</v>
      </c>
      <c r="S29" s="11">
        <f>+T27*(S7/(S8/1000))*(POWER(S9,2)/(2*9.81))</f>
        <v>18.61466192</v>
      </c>
      <c r="T29" s="10" t="s">
        <v>1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ht="15.75" customHeight="1">
      <c r="A30" s="1"/>
      <c r="B30" s="23"/>
      <c r="C30" s="24" t="s">
        <v>38</v>
      </c>
      <c r="D30" s="25">
        <f>+D29/D7*1000</f>
        <v>4.594848565</v>
      </c>
      <c r="E30" s="26" t="s">
        <v>39</v>
      </c>
      <c r="F30" s="1"/>
      <c r="G30" s="23"/>
      <c r="H30" s="24" t="s">
        <v>38</v>
      </c>
      <c r="I30" s="25">
        <f>+I29/I7*1000</f>
        <v>4.594848565</v>
      </c>
      <c r="J30" s="26" t="s">
        <v>39</v>
      </c>
      <c r="K30" s="1"/>
      <c r="L30" s="23"/>
      <c r="M30" s="24" t="s">
        <v>38</v>
      </c>
      <c r="N30" s="25">
        <f>+N29/N7*1000</f>
        <v>4.204802782</v>
      </c>
      <c r="O30" s="26" t="s">
        <v>39</v>
      </c>
      <c r="P30" s="1"/>
      <c r="Q30" s="23"/>
      <c r="R30" s="24" t="s">
        <v>38</v>
      </c>
      <c r="S30" s="25">
        <f>+S29/S7*1000</f>
        <v>4.204802782</v>
      </c>
      <c r="T30" s="26" t="s">
        <v>39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ht="15.0" customHeight="1">
      <c r="A31" s="1"/>
      <c r="B31" s="1"/>
      <c r="C31" s="1"/>
      <c r="D31" s="12">
        <f>+D29*0.1</f>
        <v>1.010866684</v>
      </c>
      <c r="E31" s="1"/>
      <c r="F31" s="1"/>
      <c r="G31" s="1"/>
      <c r="H31" s="1"/>
      <c r="I31" s="12">
        <f>+I29*0.1</f>
        <v>1.069221261</v>
      </c>
      <c r="J31" s="1"/>
      <c r="K31" s="1"/>
      <c r="L31" s="1"/>
      <c r="M31" s="1"/>
      <c r="N31" s="12">
        <f>+N29*0.1</f>
        <v>1.808065196</v>
      </c>
      <c r="O31" s="1"/>
      <c r="P31" s="1"/>
      <c r="Q31" s="1"/>
      <c r="R31" s="1"/>
      <c r="S31" s="12">
        <f>+S29*0.1</f>
        <v>1.861466192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ht="15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">
        <v>40</v>
      </c>
      <c r="N32" s="1">
        <v>0.0015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8" t="s">
        <v>41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ht="12.75" customHeight="1">
      <c r="A33" s="1"/>
      <c r="B33" s="27" t="s">
        <v>42</v>
      </c>
      <c r="C33" s="1"/>
      <c r="D33" s="1"/>
      <c r="E33" s="11">
        <v>170.0</v>
      </c>
      <c r="F33" s="1" t="s">
        <v>9</v>
      </c>
      <c r="G33" s="1" t="s">
        <v>43</v>
      </c>
      <c r="H33" s="1"/>
      <c r="I33" s="1"/>
      <c r="J33" s="1"/>
      <c r="K33" s="1"/>
      <c r="L33" s="1"/>
      <c r="M33" s="1" t="s">
        <v>44</v>
      </c>
      <c r="N33" s="1">
        <v>0.35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ht="12.75" customHeight="1">
      <c r="A34" s="1"/>
      <c r="B34" s="1" t="s">
        <v>45</v>
      </c>
      <c r="C34" s="1"/>
      <c r="D34" s="1"/>
      <c r="E34" s="11">
        <v>170.0</v>
      </c>
      <c r="F34" s="1" t="s">
        <v>9</v>
      </c>
      <c r="G34" s="1" t="s">
        <v>46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ht="12.75" customHeight="1">
      <c r="A35" s="1"/>
      <c r="B35" s="1"/>
      <c r="C35" s="1"/>
      <c r="D35" s="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ht="12.75" customHeight="1">
      <c r="A36" s="1"/>
      <c r="B36" s="1"/>
      <c r="C36" s="1"/>
      <c r="D36" s="1"/>
      <c r="E36" s="11"/>
      <c r="F36" s="1" t="s">
        <v>47</v>
      </c>
      <c r="G36" s="11">
        <f>+D29+I29+N29+S29</f>
        <v>57.49619333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ht="12.75" customHeight="1">
      <c r="A37" s="1"/>
      <c r="B37" s="1"/>
      <c r="C37" s="1"/>
      <c r="D37" s="1"/>
      <c r="E37" s="11"/>
      <c r="F37" s="1" t="s">
        <v>48</v>
      </c>
      <c r="G37" s="11">
        <f>+D28+I28+N28+S28</f>
        <v>6.261069681</v>
      </c>
      <c r="H37" s="1"/>
      <c r="I37" s="1"/>
      <c r="J37" s="1"/>
      <c r="K37" s="1"/>
      <c r="L37" s="1">
        <v>802.0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ht="12.75" customHeight="1">
      <c r="A38" s="1"/>
      <c r="B38" s="1"/>
      <c r="C38" s="2"/>
      <c r="D38" s="1"/>
      <c r="E38" s="11"/>
      <c r="F38" s="1"/>
      <c r="G38" s="1"/>
      <c r="H38" s="1"/>
      <c r="I38" s="1"/>
      <c r="J38" s="1"/>
      <c r="K38" s="1"/>
      <c r="L38" s="2">
        <f>+F58</f>
        <v>306.2799856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">
        <f>1-L38/L37</f>
        <v>0.6181047561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ht="12.75" customHeight="1">
      <c r="A40" s="1"/>
      <c r="B40" s="2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ht="12.75" customHeight="1">
      <c r="A41" s="1"/>
      <c r="B41" s="1" t="s">
        <v>50</v>
      </c>
      <c r="C41" s="1"/>
      <c r="D41" s="1">
        <v>73.1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ht="12.75" customHeight="1">
      <c r="A42" s="1"/>
      <c r="B42" s="1" t="s">
        <v>2</v>
      </c>
      <c r="C42" s="1"/>
      <c r="D42" s="1">
        <v>195.6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ht="12.75" customHeight="1">
      <c r="A43" s="1"/>
      <c r="B43" s="1" t="s">
        <v>51</v>
      </c>
      <c r="C43" s="1"/>
      <c r="D43" s="1">
        <v>1.0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ht="12.75" customHeight="1">
      <c r="A44" s="1"/>
      <c r="B44" s="1" t="s">
        <v>52</v>
      </c>
      <c r="C44" s="1"/>
      <c r="D44" s="1">
        <v>4.4</v>
      </c>
      <c r="E44" s="1" t="s">
        <v>53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ht="12.75" customHeight="1">
      <c r="A46" s="1"/>
      <c r="B46" s="27" t="s">
        <v>54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t="12.75" customHeight="1">
      <c r="A47" s="1"/>
      <c r="B47" s="1"/>
      <c r="C47" s="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ht="12.75" customHeight="1">
      <c r="A48" s="1"/>
      <c r="B48" s="1" t="s">
        <v>55</v>
      </c>
      <c r="C48" s="1"/>
      <c r="D48" s="11">
        <f>+D53</f>
        <v>189.9508728</v>
      </c>
      <c r="E48" s="1" t="s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ht="12.75" customHeight="1">
      <c r="A49" s="1"/>
      <c r="B49" s="1"/>
      <c r="C49" s="1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ht="12.75" customHeight="1">
      <c r="A50" s="1"/>
      <c r="B50" s="27" t="s">
        <v>56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ht="12.75" customHeight="1">
      <c r="A51" s="1"/>
      <c r="B51" s="1" t="s">
        <v>57</v>
      </c>
      <c r="C51" s="1"/>
      <c r="D51" s="11">
        <f>(D44-D43)+(D42-D41)+(D28+I28+N28+S28)+(D29+I29+N29+S29)+((S9^2)-(D9^2))/(2*9.81)</f>
        <v>189.6508728</v>
      </c>
      <c r="E51" s="1" t="s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ht="12.75" customHeight="1">
      <c r="A52" s="1"/>
      <c r="B52" s="1" t="s">
        <v>58</v>
      </c>
      <c r="C52" s="1"/>
      <c r="D52" s="1">
        <v>0.3</v>
      </c>
      <c r="E52" s="1" t="s">
        <v>1</v>
      </c>
      <c r="F52" s="27"/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ht="12.75" customHeight="1">
      <c r="A53" s="1"/>
      <c r="B53" s="1" t="s">
        <v>59</v>
      </c>
      <c r="C53" s="1"/>
      <c r="D53" s="11">
        <f>+D51+D52</f>
        <v>189.9508728</v>
      </c>
      <c r="E53" s="1" t="s">
        <v>1</v>
      </c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ht="12.75" customHeight="1">
      <c r="A54" s="1"/>
      <c r="B54" s="1" t="s">
        <v>45</v>
      </c>
      <c r="C54" s="1"/>
      <c r="D54" s="11">
        <f>+E34</f>
        <v>170</v>
      </c>
      <c r="E54" s="1" t="s">
        <v>9</v>
      </c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ht="12.75" customHeight="1">
      <c r="A55" s="1"/>
      <c r="B55" s="1" t="s">
        <v>60</v>
      </c>
      <c r="C55" s="1"/>
      <c r="D55" s="1">
        <v>9810.0</v>
      </c>
      <c r="E55" s="1" t="s">
        <v>61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ht="12.75" customHeight="1">
      <c r="A56" s="1"/>
      <c r="B56" s="1" t="s">
        <v>62</v>
      </c>
      <c r="C56" s="1"/>
      <c r="D56" s="12">
        <v>0.73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ht="12.75" customHeight="1">
      <c r="A57" s="1"/>
      <c r="B57" s="1" t="s">
        <v>63</v>
      </c>
      <c r="C57" s="1"/>
      <c r="D57" s="12">
        <v>0.95</v>
      </c>
      <c r="E57" s="1"/>
      <c r="F57" s="1" t="s">
        <v>64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ht="12.75" customHeight="1">
      <c r="A58" s="1"/>
      <c r="B58" s="1" t="s">
        <v>65</v>
      </c>
      <c r="C58" s="1"/>
      <c r="D58" s="2">
        <f>D55*(D54/1000)*D53/(D56*D57)/745.7</f>
        <v>612.5599712</v>
      </c>
      <c r="E58" s="1" t="s">
        <v>66</v>
      </c>
      <c r="F58" s="12">
        <f>+D58/2</f>
        <v>306.2799856</v>
      </c>
      <c r="G58" s="1" t="s">
        <v>66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ht="12.75" customHeight="1">
      <c r="A60" s="1"/>
      <c r="B60" s="29" t="s">
        <v>67</v>
      </c>
      <c r="C60" s="29" t="s">
        <v>68</v>
      </c>
      <c r="D60" s="29" t="s">
        <v>69</v>
      </c>
      <c r="E60" s="29" t="s">
        <v>70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ht="12.75" customHeight="1">
      <c r="A61" s="1" t="s">
        <v>3</v>
      </c>
      <c r="B61" s="30" t="str">
        <f>+G61</f>
        <v/>
      </c>
      <c r="C61" s="29">
        <v>73.1</v>
      </c>
      <c r="D61" s="31">
        <v>0.0</v>
      </c>
      <c r="E61" s="32">
        <f t="shared" ref="E61:E62" si="17">+C61+D61</f>
        <v>73.1</v>
      </c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ht="12.75" customHeight="1">
      <c r="A62" s="1"/>
      <c r="B62" s="30">
        <v>0.0</v>
      </c>
      <c r="C62" s="29">
        <v>73.1</v>
      </c>
      <c r="D62" s="31">
        <f>+D48+D61</f>
        <v>189.9508728</v>
      </c>
      <c r="E62" s="32">
        <f t="shared" si="17"/>
        <v>263.0508728</v>
      </c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ht="12.75" customHeight="1">
      <c r="A63" s="1" t="s">
        <v>4</v>
      </c>
      <c r="B63" s="30">
        <f>+B62+D7</f>
        <v>2200</v>
      </c>
      <c r="C63" s="29">
        <v>89.05</v>
      </c>
      <c r="D63" s="32">
        <f t="shared" ref="D63:D66" si="18">+E63-C63</f>
        <v>162.5863143</v>
      </c>
      <c r="E63" s="32">
        <f>+E62-D28-D29</f>
        <v>251.6363143</v>
      </c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ht="12.75" customHeight="1">
      <c r="A64" s="1" t="s">
        <v>5</v>
      </c>
      <c r="B64" s="33">
        <f>+B63+I7</f>
        <v>4527</v>
      </c>
      <c r="C64" s="34">
        <v>104.0</v>
      </c>
      <c r="D64" s="35">
        <f t="shared" si="18"/>
        <v>135.63821</v>
      </c>
      <c r="E64" s="35">
        <f>+E63-I28-I29</f>
        <v>239.63821</v>
      </c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ht="12.75" customHeight="1">
      <c r="A65" s="1"/>
      <c r="B65" s="30">
        <f>+B64+N7</f>
        <v>8827</v>
      </c>
      <c r="C65" s="29">
        <v>152.0</v>
      </c>
      <c r="D65" s="32">
        <f t="shared" si="18"/>
        <v>67.81980266</v>
      </c>
      <c r="E65" s="32">
        <f>+E64-N28-N29</f>
        <v>219.8198027</v>
      </c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ht="12.75" customHeight="1">
      <c r="A66" s="1" t="s">
        <v>71</v>
      </c>
      <c r="B66" s="30">
        <f>+B65+S7</f>
        <v>13254</v>
      </c>
      <c r="C66" s="29">
        <v>195.6</v>
      </c>
      <c r="D66" s="32">
        <f t="shared" si="18"/>
        <v>3.693609795</v>
      </c>
      <c r="E66" s="32">
        <f>+E65-S28-S29</f>
        <v>199.2936098</v>
      </c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ht="12.75" customHeight="1">
      <c r="A67" s="1" t="s">
        <v>6</v>
      </c>
      <c r="B67" s="30">
        <f>+B66</f>
        <v>13254</v>
      </c>
      <c r="C67" s="29">
        <v>195.6</v>
      </c>
      <c r="D67" s="32">
        <v>4.4</v>
      </c>
      <c r="E67" s="32">
        <f>+C67+D67</f>
        <v>200</v>
      </c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ht="12.75" customHeight="1">
      <c r="A68" s="1"/>
      <c r="B68" s="30"/>
      <c r="C68" s="29"/>
      <c r="D68" s="32"/>
      <c r="E68" s="32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ht="12.75" customHeight="1">
      <c r="A69" s="1"/>
      <c r="B69" s="30"/>
      <c r="C69" s="29"/>
      <c r="D69" s="32"/>
      <c r="E69" s="32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ht="12.75" customHeight="1">
      <c r="A71" s="1"/>
      <c r="B71" s="27" t="s">
        <v>72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ht="12.75" customHeight="1">
      <c r="A78" s="1"/>
      <c r="B78" s="1"/>
      <c r="C78" s="1"/>
      <c r="D78" s="1"/>
      <c r="E78" s="1"/>
      <c r="F78" s="1"/>
      <c r="G78" s="27" t="s">
        <v>73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ht="12.75" customHeight="1">
      <c r="A79" s="1"/>
      <c r="B79" s="1"/>
      <c r="C79" s="1"/>
      <c r="D79" s="1"/>
      <c r="E79" s="1"/>
      <c r="F79" s="1"/>
      <c r="G79" s="1" t="s">
        <v>74</v>
      </c>
      <c r="H79" s="1"/>
      <c r="I79" s="1"/>
      <c r="J79" s="1"/>
      <c r="K79" s="1">
        <v>0.1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ht="12.75" customHeight="1">
      <c r="A80" s="1"/>
      <c r="B80" s="1"/>
      <c r="C80" s="1"/>
      <c r="D80" s="1"/>
      <c r="E80" s="1"/>
      <c r="F80" s="1"/>
      <c r="G80" s="1" t="s">
        <v>75</v>
      </c>
      <c r="H80" s="1"/>
      <c r="I80" s="1"/>
      <c r="J80" s="1"/>
      <c r="K80" s="1">
        <v>0.3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ht="12.75" customHeight="1">
      <c r="A81" s="1"/>
      <c r="B81" s="1"/>
      <c r="C81" s="1"/>
      <c r="D81" s="1"/>
      <c r="E81" s="1"/>
      <c r="F81" s="1"/>
      <c r="G81" s="1" t="s">
        <v>76</v>
      </c>
      <c r="H81" s="1"/>
      <c r="I81" s="1"/>
      <c r="J81" s="1"/>
      <c r="K81" s="1">
        <v>0.4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ht="12.75" customHeight="1">
      <c r="A82" s="1"/>
      <c r="B82" s="1"/>
      <c r="C82" s="1"/>
      <c r="D82" s="1"/>
      <c r="E82" s="1"/>
      <c r="F82" s="1"/>
      <c r="G82" s="1" t="s">
        <v>75</v>
      </c>
      <c r="H82" s="1"/>
      <c r="I82" s="1"/>
      <c r="J82" s="1"/>
      <c r="K82" s="1">
        <f>K80</f>
        <v>0.3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t="12.75" customHeight="1">
      <c r="A83" s="1"/>
      <c r="B83" s="1"/>
      <c r="C83" s="1"/>
      <c r="D83" s="1"/>
      <c r="E83" s="1"/>
      <c r="F83" s="1"/>
      <c r="G83" s="1" t="s">
        <v>77</v>
      </c>
      <c r="H83" s="1"/>
      <c r="I83" s="1"/>
      <c r="J83" s="1"/>
      <c r="K83" s="1">
        <v>0.15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t="12.75" customHeight="1">
      <c r="A84" s="1"/>
      <c r="B84" s="1"/>
      <c r="C84" s="1"/>
      <c r="D84" s="1"/>
      <c r="E84" s="1"/>
      <c r="F84" s="1"/>
      <c r="G84" s="1" t="s">
        <v>78</v>
      </c>
      <c r="H84" s="1"/>
      <c r="I84" s="1"/>
      <c r="J84" s="1"/>
      <c r="K84" s="1">
        <v>0.15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t="12.75" customHeight="1">
      <c r="A85" s="1"/>
      <c r="B85" s="1"/>
      <c r="C85" s="1"/>
      <c r="D85" s="1"/>
      <c r="E85" s="1"/>
      <c r="F85" s="1"/>
      <c r="G85" s="1" t="s">
        <v>75</v>
      </c>
      <c r="H85" s="1"/>
      <c r="I85" s="1"/>
      <c r="J85" s="1"/>
      <c r="K85" s="1">
        <v>0.3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t="12.75" customHeight="1">
      <c r="A86" s="1"/>
      <c r="B86" s="1"/>
      <c r="C86" s="1"/>
      <c r="D86" s="1"/>
      <c r="E86" s="1"/>
      <c r="F86" s="1"/>
      <c r="G86" s="1" t="s">
        <v>79</v>
      </c>
      <c r="H86" s="1"/>
      <c r="I86" s="1"/>
      <c r="J86" s="1"/>
      <c r="K86" s="1">
        <v>2.5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t="12.75" customHeight="1">
      <c r="A87" s="1"/>
      <c r="B87" s="1"/>
      <c r="C87" s="1"/>
      <c r="D87" s="1"/>
      <c r="E87" s="1"/>
      <c r="F87" s="1"/>
      <c r="G87" s="1" t="s">
        <v>75</v>
      </c>
      <c r="H87" s="1"/>
      <c r="I87" s="1"/>
      <c r="J87" s="1"/>
      <c r="K87" s="1">
        <f>K82</f>
        <v>0.3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t="12.75" customHeight="1">
      <c r="A88" s="1"/>
      <c r="B88" s="1"/>
      <c r="C88" s="1"/>
      <c r="D88" s="1"/>
      <c r="E88" s="1"/>
      <c r="F88" s="1"/>
      <c r="G88" s="1" t="s">
        <v>76</v>
      </c>
      <c r="H88" s="1"/>
      <c r="I88" s="1"/>
      <c r="J88" s="1"/>
      <c r="K88" s="1">
        <f>K81</f>
        <v>0.4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ht="12.75" customHeight="1">
      <c r="A89" s="1"/>
      <c r="B89" s="1"/>
      <c r="C89" s="1"/>
      <c r="D89" s="1"/>
      <c r="E89" s="1"/>
      <c r="F89" s="1"/>
      <c r="G89" s="1" t="s">
        <v>75</v>
      </c>
      <c r="H89" s="1"/>
      <c r="I89" s="1"/>
      <c r="J89" s="1"/>
      <c r="K89" s="1">
        <v>0.3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2.75" customHeight="1">
      <c r="A90" s="1"/>
      <c r="B90" s="1"/>
      <c r="C90" s="1"/>
      <c r="D90" s="1"/>
      <c r="E90" s="1"/>
      <c r="F90" s="1"/>
      <c r="G90" s="1" t="s">
        <v>80</v>
      </c>
      <c r="H90" s="1"/>
      <c r="I90" s="1"/>
      <c r="J90" s="1"/>
      <c r="K90" s="1">
        <v>0.5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2.75" customHeight="1">
      <c r="A91" s="1"/>
      <c r="B91" s="1"/>
      <c r="C91" s="1"/>
      <c r="D91" s="1"/>
      <c r="E91" s="1"/>
      <c r="F91" s="1"/>
      <c r="G91" s="1" t="s">
        <v>81</v>
      </c>
      <c r="H91" s="1"/>
      <c r="I91" s="1"/>
      <c r="J91" s="1"/>
      <c r="K91" s="1">
        <v>0.8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7">
        <f>SUM(K79:K91)</f>
        <v>6.5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ht="12.75" customHeight="1">
      <c r="A99" s="1"/>
      <c r="B99" s="36" t="s">
        <v>82</v>
      </c>
      <c r="C99" s="37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ht="12.75" customHeight="1">
      <c r="A100" s="1"/>
      <c r="B100" s="39"/>
      <c r="C100" s="40"/>
      <c r="D100" s="4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ht="12.75" customHeight="1">
      <c r="A101" s="1"/>
      <c r="B101" s="41" t="s">
        <v>83</v>
      </c>
      <c r="C101" s="42">
        <v>10.33</v>
      </c>
      <c r="D101" s="43" t="s">
        <v>84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ht="12.75" customHeight="1">
      <c r="A102" s="1"/>
      <c r="B102" s="44" t="s">
        <v>85</v>
      </c>
      <c r="C102" s="45">
        <v>0.33</v>
      </c>
      <c r="D102" s="46" t="s">
        <v>84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ht="12.75" customHeight="1">
      <c r="A103" s="1"/>
      <c r="B103" s="47" t="s">
        <v>86</v>
      </c>
      <c r="C103" s="48">
        <v>0.0</v>
      </c>
      <c r="D103" s="49" t="s">
        <v>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ht="12.75" customHeight="1">
      <c r="A104" s="1"/>
      <c r="B104" s="39"/>
      <c r="C104" s="40"/>
      <c r="D104" s="4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ht="12.75" customHeight="1">
      <c r="A105" s="1"/>
      <c r="B105" s="41" t="s">
        <v>87</v>
      </c>
      <c r="C105" s="50">
        <f>C112*(C110/C109)*((C113^2)/(2*C114))</f>
        <v>0.2584644691</v>
      </c>
      <c r="D105" s="43" t="s">
        <v>1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ht="12.75" customHeight="1">
      <c r="A106" s="1"/>
      <c r="B106" s="44" t="s">
        <v>88</v>
      </c>
      <c r="C106" s="51">
        <f>C107*((4*C111)^2)/(2*C114*(C115^2)*(C109^4))</f>
        <v>2.016135656</v>
      </c>
      <c r="D106" s="46" t="s">
        <v>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ht="12.75" customHeight="1">
      <c r="A107" s="1"/>
      <c r="B107" s="47" t="s">
        <v>89</v>
      </c>
      <c r="C107" s="52">
        <v>6.5</v>
      </c>
      <c r="D107" s="4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ht="12.75" customHeight="1">
      <c r="A108" s="1"/>
      <c r="B108" s="39"/>
      <c r="C108" s="40"/>
      <c r="D108" s="4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ht="12.75" customHeight="1">
      <c r="A109" s="1"/>
      <c r="B109" s="41" t="s">
        <v>90</v>
      </c>
      <c r="C109" s="53">
        <v>0.1016</v>
      </c>
      <c r="D109" s="43" t="s">
        <v>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ht="12.75" customHeight="1">
      <c r="A110" s="1"/>
      <c r="B110" s="44" t="s">
        <v>91</v>
      </c>
      <c r="C110" s="54">
        <v>5.0</v>
      </c>
      <c r="D110" s="46" t="s">
        <v>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ht="12.75" customHeight="1">
      <c r="A111" s="1"/>
      <c r="B111" s="44" t="s">
        <v>92</v>
      </c>
      <c r="C111" s="45">
        <v>0.02</v>
      </c>
      <c r="D111" s="46" t="s">
        <v>93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ht="12.75" customHeight="1">
      <c r="A112" s="1"/>
      <c r="B112" s="44" t="s">
        <v>94</v>
      </c>
      <c r="C112" s="55">
        <v>0.01689</v>
      </c>
      <c r="D112" s="4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ht="12.75" customHeight="1">
      <c r="A113" s="1"/>
      <c r="B113" s="44" t="s">
        <v>95</v>
      </c>
      <c r="C113" s="45">
        <v>2.47</v>
      </c>
      <c r="D113" s="46" t="s">
        <v>17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ht="12.75" customHeight="1">
      <c r="A114" s="1"/>
      <c r="B114" s="44" t="s">
        <v>96</v>
      </c>
      <c r="C114" s="56">
        <v>9.81</v>
      </c>
      <c r="D114" s="46" t="s">
        <v>97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ht="12.75" customHeight="1">
      <c r="A115" s="1"/>
      <c r="B115" s="47" t="s">
        <v>98</v>
      </c>
      <c r="C115" s="57">
        <f>+PI()</f>
        <v>3.141592654</v>
      </c>
      <c r="D115" s="4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ht="12.75" customHeight="1">
      <c r="A116" s="1"/>
      <c r="B116" s="39"/>
      <c r="C116" s="40"/>
      <c r="D116" s="4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ht="12.75" customHeight="1">
      <c r="A117" s="1"/>
      <c r="B117" s="58" t="s">
        <v>99</v>
      </c>
      <c r="C117" s="59">
        <f>+C101+C103-C102-C105-C106</f>
        <v>7.725399875</v>
      </c>
      <c r="D117" s="6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ht="12.75" customHeight="1">
      <c r="A119" s="1"/>
      <c r="B119" s="58" t="s">
        <v>100</v>
      </c>
      <c r="C119" s="59">
        <v>10.2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ht="12.75" customHeight="1">
      <c r="A121" s="1"/>
      <c r="B121" s="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mergeCells count="2">
    <mergeCell ref="A7:A11"/>
    <mergeCell ref="B99:D99"/>
  </mergeCells>
  <printOptions/>
  <pageMargins bottom="0.984251968503937" footer="0.0" header="0.0" left="0.1968503937007874" right="0.1968503937007874" top="0.7874015748031497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71"/>
    <col customWidth="1" min="3" max="3" width="12.43"/>
    <col customWidth="1" min="4" max="4" width="12.0"/>
    <col customWidth="1" min="5" max="5" width="12.71"/>
    <col customWidth="1" min="6" max="6" width="6.86"/>
    <col customWidth="1" min="7" max="7" width="10.43"/>
    <col customWidth="1" min="8" max="10" width="11.57"/>
    <col customWidth="1" min="11" max="11" width="5.43"/>
    <col customWidth="1" min="12" max="12" width="15.71"/>
    <col customWidth="1" min="13" max="15" width="11.57"/>
    <col customWidth="1" min="16" max="16" width="5.0"/>
    <col customWidth="1" min="17" max="17" width="15.71"/>
    <col customWidth="1" min="18" max="20" width="11.57"/>
    <col customWidth="1" min="21" max="21" width="5.71"/>
    <col customWidth="1" min="22" max="22" width="15.0"/>
    <col customWidth="1" min="23" max="25" width="11.57"/>
    <col customWidth="1" min="26" max="26" width="5.71"/>
    <col customWidth="1" min="27" max="27" width="15.86"/>
    <col customWidth="1" min="28" max="30" width="11.57"/>
    <col customWidth="1" min="31" max="31" width="5.71"/>
    <col customWidth="1" min="32" max="32" width="16.0"/>
    <col customWidth="1" min="33" max="36" width="11.57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ht="15.0" customHeight="1">
      <c r="A2" s="1"/>
      <c r="B2" s="1" t="s">
        <v>0</v>
      </c>
      <c r="C2" s="1">
        <v>195.6</v>
      </c>
      <c r="D2" s="1" t="s">
        <v>1</v>
      </c>
      <c r="E2" s="1"/>
      <c r="F2" s="1"/>
      <c r="G2" s="1" t="s">
        <v>0</v>
      </c>
      <c r="H2" s="1">
        <f>C3</f>
        <v>215</v>
      </c>
      <c r="I2" s="1" t="s">
        <v>1</v>
      </c>
      <c r="J2" s="1"/>
      <c r="K2" s="1"/>
      <c r="L2" s="1" t="s">
        <v>0</v>
      </c>
      <c r="M2" s="1">
        <f>+H3</f>
        <v>230</v>
      </c>
      <c r="N2" s="1" t="s">
        <v>1</v>
      </c>
      <c r="O2" s="1"/>
      <c r="P2" s="1"/>
      <c r="Q2" s="1" t="s">
        <v>0</v>
      </c>
      <c r="R2" s="1">
        <f>M3</f>
        <v>288</v>
      </c>
      <c r="S2" s="1" t="s">
        <v>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ht="15.0" customHeight="1">
      <c r="A3" s="1"/>
      <c r="B3" s="1" t="s">
        <v>2</v>
      </c>
      <c r="C3" s="1">
        <v>215.0</v>
      </c>
      <c r="D3" s="1" t="s">
        <v>1</v>
      </c>
      <c r="E3" s="2">
        <f>D7+I7+N7+S7</f>
        <v>8220</v>
      </c>
      <c r="F3" s="1"/>
      <c r="G3" s="1" t="s">
        <v>2</v>
      </c>
      <c r="H3" s="1">
        <v>230.0</v>
      </c>
      <c r="I3" s="1" t="s">
        <v>1</v>
      </c>
      <c r="J3" s="1"/>
      <c r="K3" s="1"/>
      <c r="L3" s="1" t="s">
        <v>2</v>
      </c>
      <c r="M3" s="1">
        <v>288.0</v>
      </c>
      <c r="N3" s="1" t="s">
        <v>1</v>
      </c>
      <c r="O3" s="1"/>
      <c r="P3" s="1"/>
      <c r="Q3" s="1" t="s">
        <v>2</v>
      </c>
      <c r="R3" s="1">
        <v>344.5</v>
      </c>
      <c r="S3" s="1" t="s">
        <v>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ht="15.75" customHeight="1">
      <c r="A5" s="1"/>
      <c r="B5" s="1" t="s">
        <v>3</v>
      </c>
      <c r="C5" s="1"/>
      <c r="D5" s="1"/>
      <c r="E5" s="1"/>
      <c r="F5" s="1"/>
      <c r="G5" s="1" t="s">
        <v>4</v>
      </c>
      <c r="H5" s="1"/>
      <c r="I5" s="1"/>
      <c r="J5" s="1"/>
      <c r="K5" s="1"/>
      <c r="L5" s="1" t="s">
        <v>5</v>
      </c>
      <c r="M5" s="1"/>
      <c r="N5" s="1"/>
      <c r="O5" s="1"/>
      <c r="P5" s="1"/>
      <c r="Q5" s="1" t="s">
        <v>6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ht="15.0" customHeight="1">
      <c r="A6" s="1"/>
      <c r="B6" s="3" t="s">
        <v>7</v>
      </c>
      <c r="C6" s="4" t="s">
        <v>8</v>
      </c>
      <c r="D6" s="5">
        <f>+E34</f>
        <v>170</v>
      </c>
      <c r="E6" s="6" t="s">
        <v>9</v>
      </c>
      <c r="F6" s="1"/>
      <c r="G6" s="3" t="s">
        <v>7</v>
      </c>
      <c r="H6" s="4" t="s">
        <v>8</v>
      </c>
      <c r="I6" s="5">
        <f>D6</f>
        <v>170</v>
      </c>
      <c r="J6" s="6" t="s">
        <v>9</v>
      </c>
      <c r="K6" s="1"/>
      <c r="L6" s="3" t="s">
        <v>7</v>
      </c>
      <c r="M6" s="4" t="s">
        <v>8</v>
      </c>
      <c r="N6" s="5">
        <f>I6-E35</f>
        <v>170</v>
      </c>
      <c r="O6" s="6" t="s">
        <v>9</v>
      </c>
      <c r="P6" s="1"/>
      <c r="Q6" s="3" t="s">
        <v>7</v>
      </c>
      <c r="R6" s="4" t="s">
        <v>8</v>
      </c>
      <c r="S6" s="5">
        <f>N6</f>
        <v>170</v>
      </c>
      <c r="T6" s="6" t="s">
        <v>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ht="15.0" customHeight="1">
      <c r="A7" s="7"/>
      <c r="B7" s="8" t="s">
        <v>10</v>
      </c>
      <c r="C7" s="9" t="s">
        <v>11</v>
      </c>
      <c r="D7" s="2">
        <v>1100.0</v>
      </c>
      <c r="E7" s="10" t="s">
        <v>1</v>
      </c>
      <c r="F7" s="1"/>
      <c r="G7" s="8" t="s">
        <v>10</v>
      </c>
      <c r="H7" s="9" t="s">
        <v>11</v>
      </c>
      <c r="I7" s="2">
        <v>1200.0</v>
      </c>
      <c r="J7" s="10" t="s">
        <v>1</v>
      </c>
      <c r="K7" s="1"/>
      <c r="L7" s="8" t="s">
        <v>10</v>
      </c>
      <c r="M7" s="9" t="s">
        <v>11</v>
      </c>
      <c r="N7" s="2">
        <v>2920.0</v>
      </c>
      <c r="O7" s="10" t="s">
        <v>1</v>
      </c>
      <c r="P7" s="1"/>
      <c r="Q7" s="8" t="s">
        <v>10</v>
      </c>
      <c r="R7" s="9" t="s">
        <v>11</v>
      </c>
      <c r="S7" s="2">
        <v>3000.0</v>
      </c>
      <c r="T7" s="10" t="s">
        <v>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ht="15.0" customHeight="1">
      <c r="B8" s="8" t="s">
        <v>12</v>
      </c>
      <c r="C8" s="9" t="s">
        <v>13</v>
      </c>
      <c r="D8" s="11">
        <v>400.0</v>
      </c>
      <c r="E8" s="10" t="s">
        <v>14</v>
      </c>
      <c r="F8" s="1"/>
      <c r="G8" s="8" t="s">
        <v>12</v>
      </c>
      <c r="H8" s="9" t="s">
        <v>13</v>
      </c>
      <c r="I8" s="11">
        <v>400.0</v>
      </c>
      <c r="J8" s="10" t="s">
        <v>14</v>
      </c>
      <c r="K8" s="1"/>
      <c r="L8" s="8" t="s">
        <v>12</v>
      </c>
      <c r="M8" s="9" t="s">
        <v>13</v>
      </c>
      <c r="N8" s="11">
        <v>407.16</v>
      </c>
      <c r="O8" s="10" t="s">
        <v>14</v>
      </c>
      <c r="P8" s="1"/>
      <c r="Q8" s="8" t="s">
        <v>12</v>
      </c>
      <c r="R8" s="9" t="s">
        <v>13</v>
      </c>
      <c r="S8" s="11">
        <v>407.16</v>
      </c>
      <c r="T8" s="10" t="s">
        <v>14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ht="15.0" customHeight="1">
      <c r="B9" s="8" t="s">
        <v>15</v>
      </c>
      <c r="C9" s="9" t="s">
        <v>16</v>
      </c>
      <c r="D9" s="12">
        <f>+(D6/1000)/(0.25*PI()*POWER(D8/1000,2))</f>
        <v>1.352817016</v>
      </c>
      <c r="E9" s="10" t="s">
        <v>17</v>
      </c>
      <c r="F9" s="1"/>
      <c r="G9" s="8" t="s">
        <v>15</v>
      </c>
      <c r="H9" s="9" t="s">
        <v>16</v>
      </c>
      <c r="I9" s="12">
        <f>+(I6/1000)/(0.25*PI()*POWER(I8/1000,2))</f>
        <v>1.352817016</v>
      </c>
      <c r="J9" s="10" t="s">
        <v>17</v>
      </c>
      <c r="K9" s="1"/>
      <c r="L9" s="8" t="s">
        <v>15</v>
      </c>
      <c r="M9" s="9" t="s">
        <v>16</v>
      </c>
      <c r="N9" s="12">
        <f>+(N6/1000)/(0.25*PI()*POWER(N8/1000,2))</f>
        <v>1.30565618</v>
      </c>
      <c r="O9" s="10" t="s">
        <v>17</v>
      </c>
      <c r="P9" s="1"/>
      <c r="Q9" s="8" t="s">
        <v>15</v>
      </c>
      <c r="R9" s="9" t="s">
        <v>16</v>
      </c>
      <c r="S9" s="12">
        <f>+(S6/1000)/(0.25*PI()*POWER(S8/1000,2))</f>
        <v>1.30565618</v>
      </c>
      <c r="T9" s="10" t="s">
        <v>17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ht="15.0" customHeight="1">
      <c r="B10" s="8" t="s">
        <v>18</v>
      </c>
      <c r="C10" s="9" t="s">
        <v>19</v>
      </c>
      <c r="D10" s="13">
        <v>1.14E-6</v>
      </c>
      <c r="E10" s="14" t="s">
        <v>20</v>
      </c>
      <c r="F10" s="1"/>
      <c r="G10" s="8" t="s">
        <v>18</v>
      </c>
      <c r="H10" s="9" t="s">
        <v>19</v>
      </c>
      <c r="I10" s="13">
        <v>1.14E-6</v>
      </c>
      <c r="J10" s="14" t="s">
        <v>20</v>
      </c>
      <c r="K10" s="1"/>
      <c r="L10" s="8" t="s">
        <v>18</v>
      </c>
      <c r="M10" s="9" t="s">
        <v>19</v>
      </c>
      <c r="N10" s="13">
        <v>1.14E-6</v>
      </c>
      <c r="O10" s="14" t="s">
        <v>20</v>
      </c>
      <c r="P10" s="1"/>
      <c r="Q10" s="8" t="s">
        <v>18</v>
      </c>
      <c r="R10" s="9" t="s">
        <v>19</v>
      </c>
      <c r="S10" s="13">
        <v>1.14E-6</v>
      </c>
      <c r="T10" s="14" t="s">
        <v>20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ht="15.0" customHeight="1">
      <c r="B11" s="8" t="s">
        <v>21</v>
      </c>
      <c r="C11" s="9" t="s">
        <v>22</v>
      </c>
      <c r="D11" s="1">
        <f>(0.35/1000)</f>
        <v>0.00035</v>
      </c>
      <c r="E11" s="10" t="s">
        <v>1</v>
      </c>
      <c r="F11" s="1"/>
      <c r="G11" s="8" t="s">
        <v>21</v>
      </c>
      <c r="H11" s="9" t="s">
        <v>22</v>
      </c>
      <c r="I11" s="1">
        <f>(0.35/1000)</f>
        <v>0.00035</v>
      </c>
      <c r="J11" s="10" t="s">
        <v>1</v>
      </c>
      <c r="K11" s="1"/>
      <c r="L11" s="8" t="s">
        <v>21</v>
      </c>
      <c r="M11" s="9" t="s">
        <v>22</v>
      </c>
      <c r="N11" s="1">
        <f>0.0015/1000</f>
        <v>0.0000015</v>
      </c>
      <c r="O11" s="10" t="s">
        <v>1</v>
      </c>
      <c r="P11" s="1"/>
      <c r="Q11" s="8" t="s">
        <v>21</v>
      </c>
      <c r="R11" s="9" t="s">
        <v>22</v>
      </c>
      <c r="S11" s="1">
        <f>+N11</f>
        <v>0.0000015</v>
      </c>
      <c r="T11" s="10" t="s">
        <v>1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ht="15.0" customHeight="1">
      <c r="A12" s="1"/>
      <c r="B12" s="8" t="s">
        <v>23</v>
      </c>
      <c r="C12" s="9" t="s">
        <v>24</v>
      </c>
      <c r="D12" s="13">
        <f>+D11/(D8/1000)</f>
        <v>0.000875</v>
      </c>
      <c r="E12" s="10"/>
      <c r="F12" s="1"/>
      <c r="G12" s="8" t="s">
        <v>23</v>
      </c>
      <c r="H12" s="9" t="s">
        <v>24</v>
      </c>
      <c r="I12" s="13">
        <f>+I11/(I8/1000)</f>
        <v>0.000875</v>
      </c>
      <c r="J12" s="10"/>
      <c r="K12" s="1"/>
      <c r="L12" s="8" t="s">
        <v>23</v>
      </c>
      <c r="M12" s="9" t="s">
        <v>24</v>
      </c>
      <c r="N12" s="13">
        <f>+N11/(N8/1000)</f>
        <v>0.000003684055408</v>
      </c>
      <c r="O12" s="10"/>
      <c r="P12" s="1"/>
      <c r="Q12" s="8" t="s">
        <v>23</v>
      </c>
      <c r="R12" s="9" t="s">
        <v>24</v>
      </c>
      <c r="S12" s="13">
        <f>+S11/(S8/1000)</f>
        <v>0.000003684055408</v>
      </c>
      <c r="T12" s="1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ht="15.0" customHeight="1">
      <c r="A13" s="1"/>
      <c r="B13" s="8" t="s">
        <v>25</v>
      </c>
      <c r="C13" s="9" t="s">
        <v>26</v>
      </c>
      <c r="D13" s="2">
        <f>(D9*D8/1000)/(D10)</f>
        <v>474672.6373</v>
      </c>
      <c r="E13" s="10"/>
      <c r="F13" s="1"/>
      <c r="G13" s="8" t="s">
        <v>25</v>
      </c>
      <c r="H13" s="9" t="s">
        <v>26</v>
      </c>
      <c r="I13" s="2">
        <f>(I9*I8/1000)/(I10)</f>
        <v>474672.6373</v>
      </c>
      <c r="J13" s="10"/>
      <c r="K13" s="1"/>
      <c r="L13" s="8" t="s">
        <v>25</v>
      </c>
      <c r="M13" s="9" t="s">
        <v>26</v>
      </c>
      <c r="N13" s="2">
        <f>(N9*N8/1000)/(N10)</f>
        <v>466325.4124</v>
      </c>
      <c r="O13" s="10"/>
      <c r="P13" s="1"/>
      <c r="Q13" s="8" t="s">
        <v>25</v>
      </c>
      <c r="R13" s="9" t="s">
        <v>26</v>
      </c>
      <c r="S13" s="2">
        <f>(S9*S8/1000)/(S10)</f>
        <v>466325.4124</v>
      </c>
      <c r="T13" s="10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ht="15.0" customHeight="1">
      <c r="A14" s="1"/>
      <c r="B14" s="8" t="s">
        <v>27</v>
      </c>
      <c r="C14" s="9" t="s">
        <v>28</v>
      </c>
      <c r="D14" s="1">
        <v>6.0</v>
      </c>
      <c r="E14" s="10"/>
      <c r="F14" s="1"/>
      <c r="G14" s="8" t="s">
        <v>27</v>
      </c>
      <c r="H14" s="9" t="s">
        <v>28</v>
      </c>
      <c r="I14" s="1">
        <v>6.0</v>
      </c>
      <c r="J14" s="10"/>
      <c r="K14" s="1"/>
      <c r="L14" s="8" t="s">
        <v>27</v>
      </c>
      <c r="M14" s="9" t="s">
        <v>28</v>
      </c>
      <c r="N14" s="1">
        <v>12.0</v>
      </c>
      <c r="O14" s="10"/>
      <c r="P14" s="1"/>
      <c r="Q14" s="8" t="s">
        <v>27</v>
      </c>
      <c r="R14" s="9" t="s">
        <v>28</v>
      </c>
      <c r="S14" s="1">
        <v>14.0</v>
      </c>
      <c r="T14" s="1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ht="15.0" customHeight="1">
      <c r="A15" s="1"/>
      <c r="B15" s="8"/>
      <c r="C15" s="1"/>
      <c r="D15" s="1"/>
      <c r="E15" s="10"/>
      <c r="F15" s="1"/>
      <c r="G15" s="8"/>
      <c r="H15" s="1"/>
      <c r="I15" s="1"/>
      <c r="J15" s="10"/>
      <c r="K15" s="1"/>
      <c r="L15" s="8"/>
      <c r="M15" s="1"/>
      <c r="N15" s="1"/>
      <c r="O15" s="10"/>
      <c r="P15" s="1"/>
      <c r="Q15" s="8"/>
      <c r="R15" s="1"/>
      <c r="S15" s="1"/>
      <c r="T15" s="10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ht="15.0" customHeight="1">
      <c r="A16" s="1"/>
      <c r="B16" s="15" t="s">
        <v>29</v>
      </c>
      <c r="C16" s="16" t="s">
        <v>30</v>
      </c>
      <c r="D16" s="16" t="s">
        <v>31</v>
      </c>
      <c r="E16" s="17" t="s">
        <v>29</v>
      </c>
      <c r="F16" s="1"/>
      <c r="G16" s="15" t="s">
        <v>29</v>
      </c>
      <c r="H16" s="16" t="s">
        <v>30</v>
      </c>
      <c r="I16" s="16" t="s">
        <v>31</v>
      </c>
      <c r="J16" s="17" t="s">
        <v>29</v>
      </c>
      <c r="K16" s="1"/>
      <c r="L16" s="15" t="s">
        <v>29</v>
      </c>
      <c r="M16" s="16" t="s">
        <v>30</v>
      </c>
      <c r="N16" s="16" t="s">
        <v>31</v>
      </c>
      <c r="O16" s="17" t="s">
        <v>29</v>
      </c>
      <c r="P16" s="1"/>
      <c r="Q16" s="15" t="s">
        <v>29</v>
      </c>
      <c r="R16" s="16" t="s">
        <v>30</v>
      </c>
      <c r="S16" s="16" t="s">
        <v>31</v>
      </c>
      <c r="T16" s="17" t="s">
        <v>29</v>
      </c>
      <c r="U16" s="1"/>
      <c r="V16" s="1"/>
      <c r="W16" s="1"/>
      <c r="X16" s="1"/>
      <c r="Y16" s="18" t="s">
        <v>32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ht="15.0" customHeight="1">
      <c r="A17" s="1"/>
      <c r="B17" s="8"/>
      <c r="C17" s="19">
        <f>+D13</f>
        <v>474672.6373</v>
      </c>
      <c r="D17" s="1"/>
      <c r="E17" s="10"/>
      <c r="F17" s="1"/>
      <c r="G17" s="8"/>
      <c r="H17" s="19">
        <f>+I13</f>
        <v>474672.6373</v>
      </c>
      <c r="I17" s="1"/>
      <c r="J17" s="10"/>
      <c r="K17" s="1"/>
      <c r="L17" s="8"/>
      <c r="M17" s="19">
        <f>+N13</f>
        <v>466325.4124</v>
      </c>
      <c r="N17" s="1"/>
      <c r="O17" s="10"/>
      <c r="P17" s="1"/>
      <c r="Q17" s="8"/>
      <c r="R17" s="19">
        <f>+S13</f>
        <v>466325.4124</v>
      </c>
      <c r="S17" s="1"/>
      <c r="T17" s="10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ht="15.0" customHeight="1">
      <c r="A18" s="1"/>
      <c r="B18" s="20">
        <v>0.001</v>
      </c>
      <c r="C18" s="9">
        <f>1/(SQRT(B18))</f>
        <v>31.6227766</v>
      </c>
      <c r="D18" s="9">
        <f t="shared" ref="D18:D27" si="1">-2*LOG10($D$11/(3.7*($D$8/1000))+(2.51*C18)/$C$17)</f>
        <v>6.787875748</v>
      </c>
      <c r="E18" s="21">
        <f t="shared" ref="E18:E27" si="2">1/(POWER(D18,2))</f>
        <v>0.02170362275</v>
      </c>
      <c r="F18" s="1"/>
      <c r="G18" s="20">
        <v>0.001</v>
      </c>
      <c r="H18" s="9">
        <f>1/(SQRT(G18))</f>
        <v>31.6227766</v>
      </c>
      <c r="I18" s="9">
        <f t="shared" ref="I18:I27" si="3">-2*LOG10($D$11/(3.7*($D$8/1000))+(2.51*H18)/$C$17)</f>
        <v>6.787875748</v>
      </c>
      <c r="J18" s="21">
        <f t="shared" ref="J18:J27" si="4">1/(POWER(I18,2))</f>
        <v>0.02170362275</v>
      </c>
      <c r="K18" s="1"/>
      <c r="L18" s="20">
        <v>0.001</v>
      </c>
      <c r="M18" s="9">
        <f>1/(SQRT(L18))</f>
        <v>31.6227766</v>
      </c>
      <c r="N18" s="9">
        <f t="shared" ref="N18:N27" si="5">-2*LOG10($D$11/(3.7*($D$8/1000))+(2.51*M18)/$C$17)</f>
        <v>6.787875748</v>
      </c>
      <c r="O18" s="21">
        <f t="shared" ref="O18:O27" si="6">1/(POWER(N18,2))</f>
        <v>0.02170362275</v>
      </c>
      <c r="P18" s="1"/>
      <c r="Q18" s="20">
        <v>0.001</v>
      </c>
      <c r="R18" s="9">
        <f>1/(SQRT(Q18))</f>
        <v>31.6227766</v>
      </c>
      <c r="S18" s="9">
        <f t="shared" ref="S18:S27" si="7">-2*LOG10($D$11/(3.7*($D$8/1000))+(2.51*R18)/$C$17)</f>
        <v>6.787875748</v>
      </c>
      <c r="T18" s="21">
        <f t="shared" ref="T18:T27" si="8">1/(POWER(S18,2))</f>
        <v>0.02170362275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ht="15.0" customHeight="1">
      <c r="A19" s="1"/>
      <c r="B19" s="20">
        <f t="shared" ref="B19:B27" si="9">+E18</f>
        <v>0.02170362275</v>
      </c>
      <c r="C19" s="9">
        <f t="shared" ref="C19:C27" si="10">+C18-((D18-C18)/(E18-1))</f>
        <v>6.236910487</v>
      </c>
      <c r="D19" s="9">
        <f t="shared" si="1"/>
        <v>7.138990876</v>
      </c>
      <c r="E19" s="21">
        <f t="shared" si="2"/>
        <v>0.01962123531</v>
      </c>
      <c r="F19" s="1"/>
      <c r="G19" s="20">
        <f t="shared" ref="G19:G27" si="11">+J18</f>
        <v>0.02170362275</v>
      </c>
      <c r="H19" s="9">
        <f t="shared" ref="H19:H27" si="12">+H18-((I18-H18)/(J18-1))</f>
        <v>6.236910487</v>
      </c>
      <c r="I19" s="9">
        <f t="shared" si="3"/>
        <v>7.138990876</v>
      </c>
      <c r="J19" s="21">
        <f t="shared" si="4"/>
        <v>0.01962123531</v>
      </c>
      <c r="K19" s="1"/>
      <c r="L19" s="20">
        <f t="shared" ref="L19:L27" si="13">+O18</f>
        <v>0.02170362275</v>
      </c>
      <c r="M19" s="9">
        <f t="shared" ref="M19:M27" si="14">+M18-((N18-M18)/(O18-1))</f>
        <v>6.236910487</v>
      </c>
      <c r="N19" s="9">
        <f t="shared" si="5"/>
        <v>7.138990876</v>
      </c>
      <c r="O19" s="21">
        <f t="shared" si="6"/>
        <v>0.01962123531</v>
      </c>
      <c r="P19" s="1"/>
      <c r="Q19" s="20">
        <f t="shared" ref="Q19:Q27" si="15">+T18</f>
        <v>0.02170362275</v>
      </c>
      <c r="R19" s="9">
        <f t="shared" ref="R19:R27" si="16">+R18-((S18-R18)/(T18-1))</f>
        <v>6.236910487</v>
      </c>
      <c r="S19" s="9">
        <f t="shared" si="7"/>
        <v>7.138990876</v>
      </c>
      <c r="T19" s="21">
        <f t="shared" si="8"/>
        <v>0.01962123531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ht="15.0" customHeight="1">
      <c r="A20" s="1"/>
      <c r="B20" s="20">
        <f t="shared" si="9"/>
        <v>0.01962123531</v>
      </c>
      <c r="C20" s="9">
        <f t="shared" si="10"/>
        <v>7.157045053</v>
      </c>
      <c r="D20" s="9">
        <f t="shared" si="1"/>
        <v>7.123447372</v>
      </c>
      <c r="E20" s="21">
        <f t="shared" si="2"/>
        <v>0.01970695659</v>
      </c>
      <c r="F20" s="1"/>
      <c r="G20" s="20">
        <f t="shared" si="11"/>
        <v>0.01962123531</v>
      </c>
      <c r="H20" s="9">
        <f t="shared" si="12"/>
        <v>7.157045053</v>
      </c>
      <c r="I20" s="9">
        <f t="shared" si="3"/>
        <v>7.123447372</v>
      </c>
      <c r="J20" s="21">
        <f t="shared" si="4"/>
        <v>0.01970695659</v>
      </c>
      <c r="K20" s="1"/>
      <c r="L20" s="20">
        <f t="shared" si="13"/>
        <v>0.01962123531</v>
      </c>
      <c r="M20" s="9">
        <f t="shared" si="14"/>
        <v>7.157045053</v>
      </c>
      <c r="N20" s="9">
        <f t="shared" si="5"/>
        <v>7.123447372</v>
      </c>
      <c r="O20" s="21">
        <f t="shared" si="6"/>
        <v>0.01970695659</v>
      </c>
      <c r="P20" s="1"/>
      <c r="Q20" s="20">
        <f t="shared" si="15"/>
        <v>0.01962123531</v>
      </c>
      <c r="R20" s="9">
        <f t="shared" si="16"/>
        <v>7.157045053</v>
      </c>
      <c r="S20" s="9">
        <f t="shared" si="7"/>
        <v>7.123447372</v>
      </c>
      <c r="T20" s="21">
        <f t="shared" si="8"/>
        <v>0.01970695659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ht="15.0" customHeight="1">
      <c r="A21" s="1"/>
      <c r="B21" s="20">
        <f t="shared" si="9"/>
        <v>0.01970695659</v>
      </c>
      <c r="C21" s="9">
        <f t="shared" si="10"/>
        <v>7.122771953</v>
      </c>
      <c r="D21" s="9">
        <f t="shared" si="1"/>
        <v>7.124021375</v>
      </c>
      <c r="E21" s="21">
        <f t="shared" si="2"/>
        <v>0.01970378102</v>
      </c>
      <c r="F21" s="1"/>
      <c r="G21" s="20">
        <f t="shared" si="11"/>
        <v>0.01970695659</v>
      </c>
      <c r="H21" s="9">
        <f t="shared" si="12"/>
        <v>7.122771953</v>
      </c>
      <c r="I21" s="9">
        <f t="shared" si="3"/>
        <v>7.124021375</v>
      </c>
      <c r="J21" s="21">
        <f t="shared" si="4"/>
        <v>0.01970378102</v>
      </c>
      <c r="K21" s="1"/>
      <c r="L21" s="20">
        <f t="shared" si="13"/>
        <v>0.01970695659</v>
      </c>
      <c r="M21" s="9">
        <f t="shared" si="14"/>
        <v>7.122771953</v>
      </c>
      <c r="N21" s="9">
        <f t="shared" si="5"/>
        <v>7.124021375</v>
      </c>
      <c r="O21" s="21">
        <f t="shared" si="6"/>
        <v>0.01970378102</v>
      </c>
      <c r="P21" s="1"/>
      <c r="Q21" s="20">
        <f t="shared" si="15"/>
        <v>0.01970695659</v>
      </c>
      <c r="R21" s="9">
        <f t="shared" si="16"/>
        <v>7.122771953</v>
      </c>
      <c r="S21" s="9">
        <f t="shared" si="7"/>
        <v>7.124021375</v>
      </c>
      <c r="T21" s="21">
        <f t="shared" si="8"/>
        <v>0.01970378102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ht="15.0" customHeight="1">
      <c r="A22" s="1"/>
      <c r="B22" s="20">
        <f t="shared" si="9"/>
        <v>0.01970378102</v>
      </c>
      <c r="C22" s="9">
        <f t="shared" si="10"/>
        <v>7.124046488</v>
      </c>
      <c r="D22" s="9">
        <f t="shared" si="1"/>
        <v>7.124000022</v>
      </c>
      <c r="E22" s="21">
        <f t="shared" si="2"/>
        <v>0.01970389914</v>
      </c>
      <c r="F22" s="1"/>
      <c r="G22" s="20">
        <f t="shared" si="11"/>
        <v>0.01970378102</v>
      </c>
      <c r="H22" s="9">
        <f t="shared" si="12"/>
        <v>7.124046488</v>
      </c>
      <c r="I22" s="9">
        <f t="shared" si="3"/>
        <v>7.124000022</v>
      </c>
      <c r="J22" s="21">
        <f t="shared" si="4"/>
        <v>0.01970389914</v>
      </c>
      <c r="K22" s="1"/>
      <c r="L22" s="20">
        <f t="shared" si="13"/>
        <v>0.01970378102</v>
      </c>
      <c r="M22" s="9">
        <f t="shared" si="14"/>
        <v>7.124046488</v>
      </c>
      <c r="N22" s="9">
        <f t="shared" si="5"/>
        <v>7.124000022</v>
      </c>
      <c r="O22" s="21">
        <f t="shared" si="6"/>
        <v>0.01970389914</v>
      </c>
      <c r="P22" s="1"/>
      <c r="Q22" s="20">
        <f t="shared" si="15"/>
        <v>0.01970378102</v>
      </c>
      <c r="R22" s="9">
        <f t="shared" si="16"/>
        <v>7.124046488</v>
      </c>
      <c r="S22" s="9">
        <f t="shared" si="7"/>
        <v>7.124000022</v>
      </c>
      <c r="T22" s="21">
        <f t="shared" si="8"/>
        <v>0.01970389914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ht="15.0" customHeight="1">
      <c r="A23" s="1"/>
      <c r="B23" s="20">
        <f t="shared" si="9"/>
        <v>0.01970389914</v>
      </c>
      <c r="C23" s="9">
        <f t="shared" si="10"/>
        <v>7.123999088</v>
      </c>
      <c r="D23" s="9">
        <f t="shared" si="1"/>
        <v>7.124000816</v>
      </c>
      <c r="E23" s="21">
        <f t="shared" si="2"/>
        <v>0.01970389474</v>
      </c>
      <c r="F23" s="1"/>
      <c r="G23" s="20">
        <f t="shared" si="11"/>
        <v>0.01970389914</v>
      </c>
      <c r="H23" s="9">
        <f t="shared" si="12"/>
        <v>7.123999088</v>
      </c>
      <c r="I23" s="9">
        <f t="shared" si="3"/>
        <v>7.124000816</v>
      </c>
      <c r="J23" s="21">
        <f t="shared" si="4"/>
        <v>0.01970389474</v>
      </c>
      <c r="K23" s="1"/>
      <c r="L23" s="20">
        <f t="shared" si="13"/>
        <v>0.01970389914</v>
      </c>
      <c r="M23" s="9">
        <f t="shared" si="14"/>
        <v>7.123999088</v>
      </c>
      <c r="N23" s="9">
        <f t="shared" si="5"/>
        <v>7.124000816</v>
      </c>
      <c r="O23" s="21">
        <f t="shared" si="6"/>
        <v>0.01970389474</v>
      </c>
      <c r="P23" s="1"/>
      <c r="Q23" s="20">
        <f t="shared" si="15"/>
        <v>0.01970389914</v>
      </c>
      <c r="R23" s="9">
        <f t="shared" si="16"/>
        <v>7.123999088</v>
      </c>
      <c r="S23" s="9">
        <f t="shared" si="7"/>
        <v>7.124000816</v>
      </c>
      <c r="T23" s="21">
        <f t="shared" si="8"/>
        <v>0.01970389474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ht="15.0" customHeight="1">
      <c r="A24" s="1"/>
      <c r="B24" s="20">
        <f t="shared" si="9"/>
        <v>0.01970389474</v>
      </c>
      <c r="C24" s="9">
        <f t="shared" si="10"/>
        <v>7.124000851</v>
      </c>
      <c r="D24" s="9">
        <f t="shared" si="1"/>
        <v>7.124000787</v>
      </c>
      <c r="E24" s="21">
        <f t="shared" si="2"/>
        <v>0.01970389491</v>
      </c>
      <c r="F24" s="1"/>
      <c r="G24" s="20">
        <f t="shared" si="11"/>
        <v>0.01970389474</v>
      </c>
      <c r="H24" s="9">
        <f t="shared" si="12"/>
        <v>7.124000851</v>
      </c>
      <c r="I24" s="9">
        <f t="shared" si="3"/>
        <v>7.124000787</v>
      </c>
      <c r="J24" s="21">
        <f t="shared" si="4"/>
        <v>0.01970389491</v>
      </c>
      <c r="K24" s="1"/>
      <c r="L24" s="20">
        <f t="shared" si="13"/>
        <v>0.01970389474</v>
      </c>
      <c r="M24" s="9">
        <f t="shared" si="14"/>
        <v>7.124000851</v>
      </c>
      <c r="N24" s="9">
        <f t="shared" si="5"/>
        <v>7.124000787</v>
      </c>
      <c r="O24" s="21">
        <f t="shared" si="6"/>
        <v>0.01970389491</v>
      </c>
      <c r="P24" s="1"/>
      <c r="Q24" s="20">
        <f t="shared" si="15"/>
        <v>0.01970389474</v>
      </c>
      <c r="R24" s="9">
        <f t="shared" si="16"/>
        <v>7.124000851</v>
      </c>
      <c r="S24" s="9">
        <f t="shared" si="7"/>
        <v>7.124000787</v>
      </c>
      <c r="T24" s="21">
        <f t="shared" si="8"/>
        <v>0.01970389491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ht="15.0" customHeight="1">
      <c r="A25" s="1"/>
      <c r="B25" s="20">
        <f t="shared" si="9"/>
        <v>0.01970389491</v>
      </c>
      <c r="C25" s="9">
        <f t="shared" si="10"/>
        <v>7.124000786</v>
      </c>
      <c r="D25" s="9">
        <f t="shared" si="1"/>
        <v>7.124000788</v>
      </c>
      <c r="E25" s="21">
        <f t="shared" si="2"/>
        <v>0.0197038949</v>
      </c>
      <c r="F25" s="1"/>
      <c r="G25" s="20">
        <f t="shared" si="11"/>
        <v>0.01970389491</v>
      </c>
      <c r="H25" s="9">
        <f t="shared" si="12"/>
        <v>7.124000786</v>
      </c>
      <c r="I25" s="9">
        <f t="shared" si="3"/>
        <v>7.124000788</v>
      </c>
      <c r="J25" s="21">
        <f t="shared" si="4"/>
        <v>0.0197038949</v>
      </c>
      <c r="K25" s="1"/>
      <c r="L25" s="20">
        <f t="shared" si="13"/>
        <v>0.01970389491</v>
      </c>
      <c r="M25" s="9">
        <f t="shared" si="14"/>
        <v>7.124000786</v>
      </c>
      <c r="N25" s="9">
        <f t="shared" si="5"/>
        <v>7.124000788</v>
      </c>
      <c r="O25" s="21">
        <f t="shared" si="6"/>
        <v>0.0197038949</v>
      </c>
      <c r="P25" s="1"/>
      <c r="Q25" s="20">
        <f t="shared" si="15"/>
        <v>0.01970389491</v>
      </c>
      <c r="R25" s="9">
        <f t="shared" si="16"/>
        <v>7.124000786</v>
      </c>
      <c r="S25" s="9">
        <f t="shared" si="7"/>
        <v>7.124000788</v>
      </c>
      <c r="T25" s="21">
        <f t="shared" si="8"/>
        <v>0.0197038949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ht="15.0" customHeight="1">
      <c r="A26" s="1"/>
      <c r="B26" s="20">
        <f t="shared" si="9"/>
        <v>0.0197038949</v>
      </c>
      <c r="C26" s="9">
        <f t="shared" si="10"/>
        <v>7.124000788</v>
      </c>
      <c r="D26" s="9">
        <f t="shared" si="1"/>
        <v>7.124000788</v>
      </c>
      <c r="E26" s="21">
        <f t="shared" si="2"/>
        <v>0.0197038949</v>
      </c>
      <c r="F26" s="1"/>
      <c r="G26" s="20">
        <f t="shared" si="11"/>
        <v>0.0197038949</v>
      </c>
      <c r="H26" s="9">
        <f t="shared" si="12"/>
        <v>7.124000788</v>
      </c>
      <c r="I26" s="9">
        <f t="shared" si="3"/>
        <v>7.124000788</v>
      </c>
      <c r="J26" s="21">
        <f t="shared" si="4"/>
        <v>0.0197038949</v>
      </c>
      <c r="K26" s="1"/>
      <c r="L26" s="20">
        <f t="shared" si="13"/>
        <v>0.0197038949</v>
      </c>
      <c r="M26" s="9">
        <f t="shared" si="14"/>
        <v>7.124000788</v>
      </c>
      <c r="N26" s="9">
        <f t="shared" si="5"/>
        <v>7.124000788</v>
      </c>
      <c r="O26" s="21">
        <f t="shared" si="6"/>
        <v>0.0197038949</v>
      </c>
      <c r="P26" s="1"/>
      <c r="Q26" s="20">
        <f t="shared" si="15"/>
        <v>0.0197038949</v>
      </c>
      <c r="R26" s="9">
        <f t="shared" si="16"/>
        <v>7.124000788</v>
      </c>
      <c r="S26" s="9">
        <f t="shared" si="7"/>
        <v>7.124000788</v>
      </c>
      <c r="T26" s="21">
        <f t="shared" si="8"/>
        <v>0.0197038949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ht="15.0" customHeight="1">
      <c r="A27" s="1"/>
      <c r="B27" s="20">
        <f t="shared" si="9"/>
        <v>0.0197038949</v>
      </c>
      <c r="C27" s="9">
        <f t="shared" si="10"/>
        <v>7.124000788</v>
      </c>
      <c r="D27" s="9">
        <f t="shared" si="1"/>
        <v>7.124000788</v>
      </c>
      <c r="E27" s="21">
        <f t="shared" si="2"/>
        <v>0.0197038949</v>
      </c>
      <c r="F27" s="1"/>
      <c r="G27" s="20">
        <f t="shared" si="11"/>
        <v>0.0197038949</v>
      </c>
      <c r="H27" s="9">
        <f t="shared" si="12"/>
        <v>7.124000788</v>
      </c>
      <c r="I27" s="9">
        <f t="shared" si="3"/>
        <v>7.124000788</v>
      </c>
      <c r="J27" s="21">
        <f t="shared" si="4"/>
        <v>0.0197038949</v>
      </c>
      <c r="K27" s="1"/>
      <c r="L27" s="20">
        <f t="shared" si="13"/>
        <v>0.0197038949</v>
      </c>
      <c r="M27" s="9">
        <f t="shared" si="14"/>
        <v>7.124000788</v>
      </c>
      <c r="N27" s="9">
        <f t="shared" si="5"/>
        <v>7.124000788</v>
      </c>
      <c r="O27" s="21">
        <f t="shared" si="6"/>
        <v>0.0197038949</v>
      </c>
      <c r="P27" s="1"/>
      <c r="Q27" s="20">
        <f t="shared" si="15"/>
        <v>0.0197038949</v>
      </c>
      <c r="R27" s="9">
        <f t="shared" si="16"/>
        <v>7.124000788</v>
      </c>
      <c r="S27" s="9">
        <f t="shared" si="7"/>
        <v>7.124000788</v>
      </c>
      <c r="T27" s="21">
        <f t="shared" si="8"/>
        <v>0.0197038949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ht="15.0" customHeight="1">
      <c r="A28" s="1"/>
      <c r="B28" s="8"/>
      <c r="C28" s="22" t="s">
        <v>101</v>
      </c>
      <c r="D28" s="11">
        <f>+D14*((POWER(D9,2))/(2*9.81))</f>
        <v>0.5596678531</v>
      </c>
      <c r="E28" s="10" t="s">
        <v>1</v>
      </c>
      <c r="F28" s="1"/>
      <c r="G28" s="8"/>
      <c r="H28" s="22" t="s">
        <v>102</v>
      </c>
      <c r="I28" s="11">
        <f>+I14*((POWER(I9,2))/(2*9.81))</f>
        <v>0.5596678531</v>
      </c>
      <c r="J28" s="10" t="s">
        <v>1</v>
      </c>
      <c r="K28" s="1"/>
      <c r="L28" s="8"/>
      <c r="M28" s="22" t="s">
        <v>103</v>
      </c>
      <c r="N28" s="11">
        <f>+N14*((POWER(N9,2))/(2*9.81))</f>
        <v>1.042653248</v>
      </c>
      <c r="O28" s="10" t="s">
        <v>1</v>
      </c>
      <c r="P28" s="1"/>
      <c r="Q28" s="8"/>
      <c r="R28" s="22" t="s">
        <v>104</v>
      </c>
      <c r="S28" s="11">
        <f>+S14*((POWER(S9,2))/(2*9.81))</f>
        <v>1.216428789</v>
      </c>
      <c r="T28" s="10" t="s">
        <v>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ht="15.0" customHeight="1">
      <c r="A29" s="1"/>
      <c r="B29" s="8"/>
      <c r="C29" s="9" t="s">
        <v>37</v>
      </c>
      <c r="D29" s="11">
        <f>+E27*(D7/(D8/1000))*(POWER(D9,2)/(2*9.81))</f>
        <v>5.054333422</v>
      </c>
      <c r="E29" s="10" t="s">
        <v>1</v>
      </c>
      <c r="F29" s="1"/>
      <c r="G29" s="8"/>
      <c r="H29" s="9" t="s">
        <v>37</v>
      </c>
      <c r="I29" s="11">
        <f>+J27*(I7/(I8/1000))*(POWER(I9,2)/(2*9.81))</f>
        <v>5.513818278</v>
      </c>
      <c r="J29" s="10" t="s">
        <v>1</v>
      </c>
      <c r="K29" s="1"/>
      <c r="L29" s="8"/>
      <c r="M29" s="9" t="s">
        <v>37</v>
      </c>
      <c r="N29" s="11">
        <f>+O27*(N7/(N8/1000))*(POWER(N9,2)/(2*9.81))</f>
        <v>12.27802412</v>
      </c>
      <c r="O29" s="10" t="s">
        <v>1</v>
      </c>
      <c r="P29" s="1"/>
      <c r="Q29" s="8"/>
      <c r="R29" s="9" t="s">
        <v>37</v>
      </c>
      <c r="S29" s="11">
        <f>+T27*(S7/(S8/1000))*(POWER(S9,2)/(2*9.81))</f>
        <v>12.61440835</v>
      </c>
      <c r="T29" s="10" t="s">
        <v>1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ht="15.75" customHeight="1">
      <c r="A30" s="1"/>
      <c r="B30" s="23"/>
      <c r="C30" s="24" t="s">
        <v>38</v>
      </c>
      <c r="D30" s="25">
        <f>+D29/D7*1000</f>
        <v>4.594848565</v>
      </c>
      <c r="E30" s="26" t="s">
        <v>39</v>
      </c>
      <c r="F30" s="1"/>
      <c r="G30" s="23"/>
      <c r="H30" s="24" t="s">
        <v>38</v>
      </c>
      <c r="I30" s="25">
        <f>+I29/I7*1000</f>
        <v>4.594848565</v>
      </c>
      <c r="J30" s="26" t="s">
        <v>39</v>
      </c>
      <c r="K30" s="1"/>
      <c r="L30" s="23"/>
      <c r="M30" s="24" t="s">
        <v>38</v>
      </c>
      <c r="N30" s="25">
        <f>+N29/N7*1000</f>
        <v>4.204802782</v>
      </c>
      <c r="O30" s="26" t="s">
        <v>39</v>
      </c>
      <c r="P30" s="1"/>
      <c r="Q30" s="23"/>
      <c r="R30" s="24" t="s">
        <v>38</v>
      </c>
      <c r="S30" s="25">
        <f>+S29/S7*1000</f>
        <v>4.204802782</v>
      </c>
      <c r="T30" s="26" t="s">
        <v>39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ht="15.0" customHeight="1">
      <c r="A31" s="1"/>
      <c r="B31" s="1"/>
      <c r="C31" s="1"/>
      <c r="D31" s="12">
        <f>+D29*0.1</f>
        <v>0.5054333422</v>
      </c>
      <c r="E31" s="1"/>
      <c r="F31" s="1"/>
      <c r="G31" s="1"/>
      <c r="H31" s="1"/>
      <c r="I31" s="12">
        <f>+I29*0.1</f>
        <v>0.5513818278</v>
      </c>
      <c r="J31" s="1"/>
      <c r="K31" s="1"/>
      <c r="L31" s="1"/>
      <c r="M31" s="1"/>
      <c r="N31" s="12">
        <f>+N29*0.1</f>
        <v>1.227802412</v>
      </c>
      <c r="O31" s="1"/>
      <c r="P31" s="1"/>
      <c r="Q31" s="1"/>
      <c r="R31" s="1"/>
      <c r="S31" s="12">
        <f>+S29*0.1</f>
        <v>1.261440835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ht="15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">
        <v>40</v>
      </c>
      <c r="N32" s="1">
        <v>0.0015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8" t="s">
        <v>41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ht="12.75" customHeight="1">
      <c r="A33" s="1"/>
      <c r="B33" s="27" t="s">
        <v>42</v>
      </c>
      <c r="C33" s="1"/>
      <c r="D33" s="1"/>
      <c r="E33" s="11">
        <v>170.0</v>
      </c>
      <c r="F33" s="1" t="s">
        <v>9</v>
      </c>
      <c r="G33" s="1" t="s">
        <v>43</v>
      </c>
      <c r="H33" s="1"/>
      <c r="I33" s="1"/>
      <c r="J33" s="1"/>
      <c r="K33" s="1"/>
      <c r="L33" s="1"/>
      <c r="M33" s="1" t="s">
        <v>44</v>
      </c>
      <c r="N33" s="1">
        <v>0.35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ht="12.75" customHeight="1">
      <c r="A34" s="1"/>
      <c r="B34" s="1" t="s">
        <v>45</v>
      </c>
      <c r="C34" s="1"/>
      <c r="D34" s="1"/>
      <c r="E34" s="11">
        <v>170.0</v>
      </c>
      <c r="F34" s="1" t="s">
        <v>9</v>
      </c>
      <c r="G34" s="1" t="s">
        <v>46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ht="12.75" customHeight="1">
      <c r="A35" s="1"/>
      <c r="B35" s="1"/>
      <c r="C35" s="1"/>
      <c r="D35" s="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ht="12.75" customHeight="1">
      <c r="A36" s="1"/>
      <c r="B36" s="1"/>
      <c r="C36" s="1"/>
      <c r="D36" s="1"/>
      <c r="E36" s="11"/>
      <c r="F36" s="1" t="s">
        <v>47</v>
      </c>
      <c r="G36" s="11">
        <f>+D29+I29+N29+S29</f>
        <v>35.46058417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ht="12.75" customHeight="1">
      <c r="A37" s="1"/>
      <c r="B37" s="1"/>
      <c r="C37" s="1"/>
      <c r="D37" s="1"/>
      <c r="E37" s="11"/>
      <c r="F37" s="1" t="s">
        <v>48</v>
      </c>
      <c r="G37" s="11">
        <f>+D28+I28+N28+S28</f>
        <v>3.378417742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ht="12.75" customHeight="1">
      <c r="A38" s="1"/>
      <c r="B38" s="1"/>
      <c r="C38" s="2"/>
      <c r="D38" s="1"/>
      <c r="E38" s="11"/>
      <c r="F38" s="1"/>
      <c r="G38" s="1"/>
      <c r="H38" s="1"/>
      <c r="I38" s="1"/>
      <c r="J38" s="1"/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ht="12.75" customHeight="1">
      <c r="A40" s="1"/>
      <c r="B40" s="2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ht="12.75" customHeight="1">
      <c r="A41" s="1"/>
      <c r="B41" s="1" t="s">
        <v>50</v>
      </c>
      <c r="C41" s="1"/>
      <c r="D41" s="1">
        <v>195.6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ht="12.75" customHeight="1">
      <c r="A42" s="1"/>
      <c r="B42" s="1" t="s">
        <v>2</v>
      </c>
      <c r="C42" s="1"/>
      <c r="D42" s="1">
        <v>344.5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ht="12.75" customHeight="1">
      <c r="A43" s="1"/>
      <c r="B43" s="1" t="s">
        <v>51</v>
      </c>
      <c r="C43" s="1"/>
      <c r="D43" s="1">
        <v>1.0</v>
      </c>
      <c r="E43" s="1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ht="12.75" customHeight="1">
      <c r="A44" s="1"/>
      <c r="B44" s="1" t="s">
        <v>52</v>
      </c>
      <c r="C44" s="1"/>
      <c r="D44" s="1">
        <v>4.4</v>
      </c>
      <c r="E44" s="1" t="s">
        <v>53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ht="12.75" customHeight="1">
      <c r="A46" s="1"/>
      <c r="B46" s="27" t="s">
        <v>54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t="12.75" customHeight="1">
      <c r="A47" s="1"/>
      <c r="B47" s="1"/>
      <c r="C47" s="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ht="12.75" customHeight="1">
      <c r="A48" s="1"/>
      <c r="B48" s="1" t="s">
        <v>55</v>
      </c>
      <c r="C48" s="1"/>
      <c r="D48" s="11">
        <f>+D53</f>
        <v>191.4326117</v>
      </c>
      <c r="E48" s="1" t="s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ht="12.75" customHeight="1">
      <c r="A49" s="1"/>
      <c r="B49" s="1"/>
      <c r="C49" s="1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ht="12.75" customHeight="1">
      <c r="A50" s="1"/>
      <c r="B50" s="27" t="s">
        <v>56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ht="12.75" customHeight="1">
      <c r="A51" s="1"/>
      <c r="B51" s="1" t="s">
        <v>57</v>
      </c>
      <c r="C51" s="1"/>
      <c r="D51" s="11">
        <f>(D44-D43)+(D42-D41)+(D28+I28+N28+S28)+(D29+I29+N29+S29)+((S9^2)-(D9^2))/(2*9.81)</f>
        <v>191.1326117</v>
      </c>
      <c r="E51" s="1" t="s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ht="12.75" customHeight="1">
      <c r="A52" s="1"/>
      <c r="B52" s="1" t="s">
        <v>58</v>
      </c>
      <c r="C52" s="1"/>
      <c r="D52" s="1">
        <v>0.3</v>
      </c>
      <c r="E52" s="1" t="s">
        <v>1</v>
      </c>
      <c r="F52" s="27"/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ht="12.75" customHeight="1">
      <c r="A53" s="1"/>
      <c r="B53" s="1" t="s">
        <v>59</v>
      </c>
      <c r="C53" s="1"/>
      <c r="D53" s="11">
        <f>+D51+D52</f>
        <v>191.4326117</v>
      </c>
      <c r="E53" s="1" t="s">
        <v>1</v>
      </c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ht="12.75" customHeight="1">
      <c r="A54" s="1"/>
      <c r="B54" s="1" t="s">
        <v>45</v>
      </c>
      <c r="C54" s="1"/>
      <c r="D54" s="11">
        <f>+E34</f>
        <v>170</v>
      </c>
      <c r="E54" s="1" t="s">
        <v>9</v>
      </c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ht="12.75" customHeight="1">
      <c r="A55" s="1"/>
      <c r="B55" s="1" t="s">
        <v>60</v>
      </c>
      <c r="C55" s="1"/>
      <c r="D55" s="1">
        <v>9810.0</v>
      </c>
      <c r="E55" s="1" t="s">
        <v>61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ht="12.75" customHeight="1">
      <c r="A56" s="1"/>
      <c r="B56" s="1" t="s">
        <v>62</v>
      </c>
      <c r="C56" s="1"/>
      <c r="D56" s="12">
        <v>0.73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ht="12.75" customHeight="1">
      <c r="A57" s="1"/>
      <c r="B57" s="1" t="s">
        <v>63</v>
      </c>
      <c r="C57" s="1"/>
      <c r="D57" s="12">
        <v>0.95</v>
      </c>
      <c r="E57" s="1"/>
      <c r="F57" s="1" t="s">
        <v>64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ht="12.75" customHeight="1">
      <c r="A58" s="1"/>
      <c r="B58" s="1" t="s">
        <v>65</v>
      </c>
      <c r="C58" s="1"/>
      <c r="D58" s="2">
        <f>D55*(D54/1000)*D53/(D56*D57)/745.7</f>
        <v>617.3383327</v>
      </c>
      <c r="E58" s="1" t="s">
        <v>66</v>
      </c>
      <c r="F58" s="12">
        <f>+D58/2</f>
        <v>308.6691664</v>
      </c>
      <c r="G58" s="1" t="s">
        <v>66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ht="12.75" customHeight="1">
      <c r="A60" s="1"/>
      <c r="B60" s="29" t="s">
        <v>67</v>
      </c>
      <c r="C60" s="29" t="s">
        <v>68</v>
      </c>
      <c r="D60" s="29" t="s">
        <v>69</v>
      </c>
      <c r="E60" s="29" t="s">
        <v>70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ht="12.75" customHeight="1">
      <c r="A61" s="1" t="s">
        <v>3</v>
      </c>
      <c r="B61" s="30" t="str">
        <f>+G61</f>
        <v/>
      </c>
      <c r="C61" s="29">
        <v>195.6</v>
      </c>
      <c r="D61" s="31">
        <v>0.0</v>
      </c>
      <c r="E61" s="32">
        <f t="shared" ref="E61:E62" si="17">+C61+D61</f>
        <v>195.6</v>
      </c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ht="12.75" customHeight="1">
      <c r="A62" s="1"/>
      <c r="B62" s="30">
        <v>0.0</v>
      </c>
      <c r="C62" s="29">
        <v>195.6</v>
      </c>
      <c r="D62" s="31">
        <f>+D48+D61</f>
        <v>191.4326117</v>
      </c>
      <c r="E62" s="32">
        <f t="shared" si="17"/>
        <v>387.0326117</v>
      </c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ht="12.75" customHeight="1">
      <c r="A63" s="1" t="s">
        <v>4</v>
      </c>
      <c r="B63" s="30">
        <f>+B62+D7</f>
        <v>1100</v>
      </c>
      <c r="C63" s="29">
        <v>215.0</v>
      </c>
      <c r="D63" s="32">
        <f t="shared" ref="D63:D66" si="18">+E63-C63</f>
        <v>166.4186104</v>
      </c>
      <c r="E63" s="32">
        <f>+E62-D28-D29</f>
        <v>381.4186104</v>
      </c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ht="12.75" customHeight="1">
      <c r="A64" s="1" t="s">
        <v>5</v>
      </c>
      <c r="B64" s="33">
        <f>+B63+I7</f>
        <v>2300</v>
      </c>
      <c r="C64" s="34">
        <v>230.0</v>
      </c>
      <c r="D64" s="35">
        <f t="shared" si="18"/>
        <v>145.3451243</v>
      </c>
      <c r="E64" s="35">
        <f>+E63-I28-I29</f>
        <v>375.3451243</v>
      </c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ht="12.75" customHeight="1">
      <c r="A65" s="1"/>
      <c r="B65" s="30">
        <f>+B64+N7</f>
        <v>5220</v>
      </c>
      <c r="C65" s="29">
        <v>288.0</v>
      </c>
      <c r="D65" s="32">
        <f t="shared" si="18"/>
        <v>74.02444693</v>
      </c>
      <c r="E65" s="32">
        <f>+E64-N28-N29</f>
        <v>362.0244469</v>
      </c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ht="12.75" customHeight="1">
      <c r="A66" s="1" t="s">
        <v>71</v>
      </c>
      <c r="B66" s="30">
        <f>+B65+S7</f>
        <v>8220</v>
      </c>
      <c r="C66" s="29">
        <v>344.5</v>
      </c>
      <c r="D66" s="32">
        <f t="shared" si="18"/>
        <v>3.693609795</v>
      </c>
      <c r="E66" s="32">
        <f>+E65-S28-S29</f>
        <v>348.1936098</v>
      </c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ht="12.75" customHeight="1">
      <c r="A67" s="1" t="s">
        <v>6</v>
      </c>
      <c r="B67" s="30">
        <f>+B66</f>
        <v>8220</v>
      </c>
      <c r="C67" s="29">
        <v>344.5</v>
      </c>
      <c r="D67" s="32">
        <v>4.4</v>
      </c>
      <c r="E67" s="32">
        <f>+C67+D67</f>
        <v>348.9</v>
      </c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ht="12.75" customHeight="1">
      <c r="A68" s="1"/>
      <c r="B68" s="30"/>
      <c r="C68" s="29"/>
      <c r="D68" s="32"/>
      <c r="E68" s="32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ht="12.75" customHeight="1">
      <c r="A69" s="1"/>
      <c r="B69" s="30"/>
      <c r="C69" s="29"/>
      <c r="D69" s="32"/>
      <c r="E69" s="32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ht="12.75" customHeight="1">
      <c r="A71" s="1"/>
      <c r="B71" s="27" t="s">
        <v>72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ht="12.75" customHeight="1">
      <c r="A78" s="1"/>
      <c r="B78" s="1"/>
      <c r="C78" s="1"/>
      <c r="D78" s="1"/>
      <c r="E78" s="1"/>
      <c r="F78" s="1"/>
      <c r="G78" s="27" t="s">
        <v>73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ht="12.75" customHeight="1">
      <c r="A79" s="1"/>
      <c r="B79" s="1"/>
      <c r="C79" s="1"/>
      <c r="D79" s="1"/>
      <c r="E79" s="1"/>
      <c r="F79" s="1"/>
      <c r="G79" s="1" t="s">
        <v>74</v>
      </c>
      <c r="H79" s="1"/>
      <c r="I79" s="1"/>
      <c r="J79" s="1"/>
      <c r="K79" s="1">
        <v>0.1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ht="12.75" customHeight="1">
      <c r="A80" s="1"/>
      <c r="B80" s="1"/>
      <c r="C80" s="1"/>
      <c r="D80" s="1"/>
      <c r="E80" s="1"/>
      <c r="F80" s="1"/>
      <c r="G80" s="1" t="s">
        <v>75</v>
      </c>
      <c r="H80" s="1"/>
      <c r="I80" s="1"/>
      <c r="J80" s="1"/>
      <c r="K80" s="1">
        <v>0.3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ht="12.75" customHeight="1">
      <c r="A81" s="1"/>
      <c r="B81" s="1"/>
      <c r="C81" s="1"/>
      <c r="D81" s="1"/>
      <c r="E81" s="1"/>
      <c r="F81" s="1"/>
      <c r="G81" s="1" t="s">
        <v>76</v>
      </c>
      <c r="H81" s="1"/>
      <c r="I81" s="1"/>
      <c r="J81" s="1"/>
      <c r="K81" s="1">
        <v>0.4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ht="12.75" customHeight="1">
      <c r="A82" s="1"/>
      <c r="B82" s="1"/>
      <c r="C82" s="1"/>
      <c r="D82" s="1"/>
      <c r="E82" s="1"/>
      <c r="F82" s="1"/>
      <c r="G82" s="1" t="s">
        <v>75</v>
      </c>
      <c r="H82" s="1"/>
      <c r="I82" s="1"/>
      <c r="J82" s="1"/>
      <c r="K82" s="1">
        <f>K80</f>
        <v>0.3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t="12.75" customHeight="1">
      <c r="A83" s="1"/>
      <c r="B83" s="1"/>
      <c r="C83" s="1"/>
      <c r="D83" s="1"/>
      <c r="E83" s="1"/>
      <c r="F83" s="1"/>
      <c r="G83" s="1" t="s">
        <v>77</v>
      </c>
      <c r="H83" s="1"/>
      <c r="I83" s="1"/>
      <c r="J83" s="1"/>
      <c r="K83" s="1">
        <v>0.15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t="12.75" customHeight="1">
      <c r="A84" s="1"/>
      <c r="B84" s="1"/>
      <c r="C84" s="1"/>
      <c r="D84" s="1"/>
      <c r="E84" s="1"/>
      <c r="F84" s="1"/>
      <c r="G84" s="1" t="s">
        <v>78</v>
      </c>
      <c r="H84" s="1"/>
      <c r="I84" s="1"/>
      <c r="J84" s="1"/>
      <c r="K84" s="1">
        <v>0.15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t="12.75" customHeight="1">
      <c r="A85" s="1"/>
      <c r="B85" s="1"/>
      <c r="C85" s="1"/>
      <c r="D85" s="1"/>
      <c r="E85" s="1"/>
      <c r="F85" s="1"/>
      <c r="G85" s="1" t="s">
        <v>75</v>
      </c>
      <c r="H85" s="1"/>
      <c r="I85" s="1"/>
      <c r="J85" s="1"/>
      <c r="K85" s="1">
        <v>0.3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t="12.75" customHeight="1">
      <c r="A86" s="1"/>
      <c r="B86" s="1"/>
      <c r="C86" s="1"/>
      <c r="D86" s="1"/>
      <c r="E86" s="1"/>
      <c r="F86" s="1"/>
      <c r="G86" s="1" t="s">
        <v>79</v>
      </c>
      <c r="H86" s="1"/>
      <c r="I86" s="1"/>
      <c r="J86" s="1"/>
      <c r="K86" s="1">
        <v>2.5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t="12.75" customHeight="1">
      <c r="A87" s="1"/>
      <c r="B87" s="1"/>
      <c r="C87" s="1"/>
      <c r="D87" s="1"/>
      <c r="E87" s="1"/>
      <c r="F87" s="1"/>
      <c r="G87" s="1" t="s">
        <v>75</v>
      </c>
      <c r="H87" s="1"/>
      <c r="I87" s="1"/>
      <c r="J87" s="1"/>
      <c r="K87" s="1">
        <f>K82</f>
        <v>0.3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t="12.75" customHeight="1">
      <c r="A88" s="1"/>
      <c r="B88" s="1"/>
      <c r="C88" s="1"/>
      <c r="D88" s="1"/>
      <c r="E88" s="1"/>
      <c r="F88" s="1"/>
      <c r="G88" s="1" t="s">
        <v>76</v>
      </c>
      <c r="H88" s="1"/>
      <c r="I88" s="1"/>
      <c r="J88" s="1"/>
      <c r="K88" s="1">
        <f>K81</f>
        <v>0.4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ht="12.75" customHeight="1">
      <c r="A89" s="1"/>
      <c r="B89" s="1"/>
      <c r="C89" s="1"/>
      <c r="D89" s="1"/>
      <c r="E89" s="1"/>
      <c r="F89" s="1"/>
      <c r="G89" s="1" t="s">
        <v>75</v>
      </c>
      <c r="H89" s="1"/>
      <c r="I89" s="1"/>
      <c r="J89" s="1"/>
      <c r="K89" s="1">
        <v>0.3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2.75" customHeight="1">
      <c r="A90" s="1"/>
      <c r="B90" s="1"/>
      <c r="C90" s="1"/>
      <c r="D90" s="1"/>
      <c r="E90" s="1"/>
      <c r="F90" s="1"/>
      <c r="G90" s="1" t="s">
        <v>80</v>
      </c>
      <c r="H90" s="1"/>
      <c r="I90" s="1"/>
      <c r="J90" s="1"/>
      <c r="K90" s="1">
        <v>0.5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2.75" customHeight="1">
      <c r="A91" s="1"/>
      <c r="B91" s="1"/>
      <c r="C91" s="1"/>
      <c r="D91" s="1"/>
      <c r="E91" s="1"/>
      <c r="F91" s="1"/>
      <c r="G91" s="1" t="s">
        <v>81</v>
      </c>
      <c r="H91" s="1"/>
      <c r="I91" s="1"/>
      <c r="J91" s="1"/>
      <c r="K91" s="1">
        <v>0.8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7">
        <f>SUM(K79:K91)</f>
        <v>6.5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ht="12.75" customHeight="1">
      <c r="A99" s="1"/>
      <c r="B99" s="36" t="s">
        <v>82</v>
      </c>
      <c r="C99" s="37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ht="12.75" customHeight="1">
      <c r="A100" s="1"/>
      <c r="B100" s="39"/>
      <c r="C100" s="40"/>
      <c r="D100" s="4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ht="12.75" customHeight="1">
      <c r="A101" s="1"/>
      <c r="B101" s="41" t="s">
        <v>105</v>
      </c>
      <c r="C101" s="42">
        <v>10.33</v>
      </c>
      <c r="D101" s="43" t="s">
        <v>84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ht="12.75" customHeight="1">
      <c r="A102" s="1"/>
      <c r="B102" s="44" t="s">
        <v>106</v>
      </c>
      <c r="C102" s="45">
        <v>0.33</v>
      </c>
      <c r="D102" s="46" t="s">
        <v>84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ht="12.75" customHeight="1">
      <c r="A103" s="1"/>
      <c r="B103" s="47" t="s">
        <v>107</v>
      </c>
      <c r="C103" s="48">
        <v>0.0</v>
      </c>
      <c r="D103" s="49" t="s">
        <v>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ht="12.75" customHeight="1">
      <c r="A104" s="1"/>
      <c r="B104" s="39"/>
      <c r="C104" s="40"/>
      <c r="D104" s="4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ht="12.75" customHeight="1">
      <c r="A105" s="1"/>
      <c r="B105" s="41" t="s">
        <v>108</v>
      </c>
      <c r="C105" s="50">
        <f>C112*(C110/C109)*((C113^2)/(2*C114))</f>
        <v>0.2584644691</v>
      </c>
      <c r="D105" s="43" t="s">
        <v>1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ht="12.75" customHeight="1">
      <c r="A106" s="1"/>
      <c r="B106" s="44" t="s">
        <v>109</v>
      </c>
      <c r="C106" s="51">
        <f>C107*((4*C111)^2)/(2*C114*(C115^2)*(C109^4))</f>
        <v>2.016135656</v>
      </c>
      <c r="D106" s="46" t="s">
        <v>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ht="12.75" customHeight="1">
      <c r="A107" s="1"/>
      <c r="B107" s="47" t="s">
        <v>110</v>
      </c>
      <c r="C107" s="52">
        <v>6.5</v>
      </c>
      <c r="D107" s="4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ht="12.75" customHeight="1">
      <c r="A108" s="1"/>
      <c r="B108" s="39"/>
      <c r="C108" s="40"/>
      <c r="D108" s="4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ht="12.75" customHeight="1">
      <c r="A109" s="1"/>
      <c r="B109" s="41" t="s">
        <v>90</v>
      </c>
      <c r="C109" s="53">
        <v>0.1016</v>
      </c>
      <c r="D109" s="43" t="s">
        <v>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ht="12.75" customHeight="1">
      <c r="A110" s="1"/>
      <c r="B110" s="44" t="s">
        <v>91</v>
      </c>
      <c r="C110" s="54">
        <v>5.0</v>
      </c>
      <c r="D110" s="46" t="s">
        <v>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ht="12.75" customHeight="1">
      <c r="A111" s="1"/>
      <c r="B111" s="44" t="s">
        <v>92</v>
      </c>
      <c r="C111" s="45">
        <v>0.02</v>
      </c>
      <c r="D111" s="46" t="s">
        <v>93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ht="12.75" customHeight="1">
      <c r="A112" s="1"/>
      <c r="B112" s="44" t="s">
        <v>94</v>
      </c>
      <c r="C112" s="55">
        <v>0.01689</v>
      </c>
      <c r="D112" s="4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ht="12.75" customHeight="1">
      <c r="A113" s="1"/>
      <c r="B113" s="44" t="s">
        <v>95</v>
      </c>
      <c r="C113" s="45">
        <v>2.47</v>
      </c>
      <c r="D113" s="46" t="s">
        <v>17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ht="12.75" customHeight="1">
      <c r="A114" s="1"/>
      <c r="B114" s="44" t="s">
        <v>96</v>
      </c>
      <c r="C114" s="56">
        <v>9.81</v>
      </c>
      <c r="D114" s="46" t="s">
        <v>97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ht="12.75" customHeight="1">
      <c r="A115" s="1"/>
      <c r="B115" s="47" t="s">
        <v>98</v>
      </c>
      <c r="C115" s="57">
        <f>+PI()</f>
        <v>3.141592654</v>
      </c>
      <c r="D115" s="4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ht="12.75" customHeight="1">
      <c r="A116" s="1"/>
      <c r="B116" s="39"/>
      <c r="C116" s="40"/>
      <c r="D116" s="4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ht="12.75" customHeight="1">
      <c r="A117" s="1"/>
      <c r="B117" s="58" t="s">
        <v>99</v>
      </c>
      <c r="C117" s="59">
        <f>+C101+C103-C102-C105-C106</f>
        <v>7.725399875</v>
      </c>
      <c r="D117" s="6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ht="12.75" customHeight="1">
      <c r="A119" s="1"/>
      <c r="B119" s="58" t="s">
        <v>100</v>
      </c>
      <c r="C119" s="59">
        <v>10.2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ht="12.75" customHeight="1">
      <c r="A121" s="1"/>
      <c r="B121" s="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mergeCells count="2">
    <mergeCell ref="A7:A11"/>
    <mergeCell ref="B99:D99"/>
  </mergeCells>
  <printOptions/>
  <pageMargins bottom="0.984251968503937" footer="0.0" header="0.0" left="0.1968503937007874" right="0.1968503937007874" top="0.7874015748031497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71"/>
    <col customWidth="1" min="3" max="3" width="12.43"/>
    <col customWidth="1" min="4" max="4" width="12.0"/>
    <col customWidth="1" min="5" max="5" width="12.71"/>
    <col customWidth="1" min="6" max="6" width="6.86"/>
    <col customWidth="1" min="7" max="7" width="10.43"/>
    <col customWidth="1" min="8" max="10" width="11.57"/>
    <col customWidth="1" min="11" max="11" width="5.43"/>
    <col customWidth="1" min="12" max="12" width="15.71"/>
    <col customWidth="1" min="13" max="15" width="11.57"/>
    <col customWidth="1" min="16" max="16" width="5.0"/>
    <col customWidth="1" min="17" max="17" width="15.71"/>
    <col customWidth="1" min="18" max="20" width="11.57"/>
    <col customWidth="1" min="21" max="21" width="5.71"/>
    <col customWidth="1" min="22" max="22" width="15.0"/>
    <col customWidth="1" min="23" max="25" width="11.57"/>
    <col customWidth="1" min="26" max="26" width="5.71"/>
    <col customWidth="1" min="27" max="27" width="15.86"/>
    <col customWidth="1" min="28" max="30" width="11.57"/>
    <col customWidth="1" min="31" max="31" width="5.71"/>
    <col customWidth="1" min="32" max="32" width="16.0"/>
    <col customWidth="1" min="33" max="36" width="11.57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ht="15.0" customHeight="1">
      <c r="A2" s="1"/>
      <c r="B2" s="1" t="s">
        <v>0</v>
      </c>
      <c r="C2" s="1">
        <v>340.1</v>
      </c>
      <c r="D2" s="1" t="s">
        <v>1</v>
      </c>
      <c r="E2" s="1"/>
      <c r="F2" s="1"/>
      <c r="G2" s="1" t="s">
        <v>0</v>
      </c>
      <c r="H2" s="1">
        <f>C3</f>
        <v>368.55</v>
      </c>
      <c r="I2" s="1" t="s">
        <v>1</v>
      </c>
      <c r="J2" s="1"/>
      <c r="K2" s="1"/>
      <c r="L2" s="1" t="s">
        <v>0</v>
      </c>
      <c r="M2" s="1">
        <f>+H3</f>
        <v>397</v>
      </c>
      <c r="N2" s="1" t="s">
        <v>1</v>
      </c>
      <c r="O2" s="1"/>
      <c r="P2" s="1"/>
      <c r="Q2" s="1" t="s">
        <v>0</v>
      </c>
      <c r="R2" s="1">
        <f>M3</f>
        <v>443.2</v>
      </c>
      <c r="S2" s="1" t="s">
        <v>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ht="15.0" customHeight="1">
      <c r="A3" s="1"/>
      <c r="B3" s="1" t="s">
        <v>2</v>
      </c>
      <c r="C3" s="1">
        <v>368.55</v>
      </c>
      <c r="D3" s="1" t="s">
        <v>1</v>
      </c>
      <c r="E3" s="2">
        <f>D7+I7+N7</f>
        <v>1595</v>
      </c>
      <c r="F3" s="1"/>
      <c r="G3" s="1" t="s">
        <v>2</v>
      </c>
      <c r="H3" s="1">
        <v>397.0</v>
      </c>
      <c r="I3" s="1" t="s">
        <v>1</v>
      </c>
      <c r="J3" s="1"/>
      <c r="K3" s="1"/>
      <c r="L3" s="1" t="s">
        <v>2</v>
      </c>
      <c r="M3" s="1">
        <v>443.2</v>
      </c>
      <c r="N3" s="1" t="s">
        <v>1</v>
      </c>
      <c r="O3" s="1"/>
      <c r="P3" s="1"/>
      <c r="Q3" s="1" t="s">
        <v>2</v>
      </c>
      <c r="R3" s="1">
        <v>489.4</v>
      </c>
      <c r="S3" s="1" t="s">
        <v>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ht="15.75" customHeight="1">
      <c r="A5" s="1"/>
      <c r="B5" s="1" t="s">
        <v>3</v>
      </c>
      <c r="C5" s="1"/>
      <c r="D5" s="1"/>
      <c r="E5" s="1"/>
      <c r="F5" s="1"/>
      <c r="G5" s="1" t="s">
        <v>4</v>
      </c>
      <c r="H5" s="1"/>
      <c r="I5" s="1"/>
      <c r="J5" s="1"/>
      <c r="K5" s="1"/>
      <c r="L5" s="1" t="s">
        <v>5</v>
      </c>
      <c r="M5" s="1"/>
      <c r="N5" s="1"/>
      <c r="O5" s="1"/>
      <c r="P5" s="1"/>
      <c r="Q5" s="1" t="s">
        <v>6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ht="15.0" customHeight="1">
      <c r="A6" s="1"/>
      <c r="B6" s="3" t="s">
        <v>7</v>
      </c>
      <c r="C6" s="4" t="s">
        <v>8</v>
      </c>
      <c r="D6" s="5">
        <f>+E34</f>
        <v>170</v>
      </c>
      <c r="E6" s="6" t="s">
        <v>9</v>
      </c>
      <c r="F6" s="1"/>
      <c r="G6" s="3" t="s">
        <v>7</v>
      </c>
      <c r="H6" s="4" t="s">
        <v>8</v>
      </c>
      <c r="I6" s="5">
        <f>D6</f>
        <v>170</v>
      </c>
      <c r="J6" s="6" t="s">
        <v>9</v>
      </c>
      <c r="K6" s="1"/>
      <c r="L6" s="3" t="s">
        <v>7</v>
      </c>
      <c r="M6" s="4" t="s">
        <v>8</v>
      </c>
      <c r="N6" s="5">
        <f>I6-E35</f>
        <v>170</v>
      </c>
      <c r="O6" s="6" t="s">
        <v>9</v>
      </c>
      <c r="P6" s="1"/>
      <c r="Q6" s="3" t="s">
        <v>7</v>
      </c>
      <c r="R6" s="4" t="s">
        <v>8</v>
      </c>
      <c r="S6" s="5">
        <f>N6</f>
        <v>170</v>
      </c>
      <c r="T6" s="6" t="s">
        <v>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ht="15.0" customHeight="1">
      <c r="A7" s="7"/>
      <c r="B7" s="8" t="s">
        <v>10</v>
      </c>
      <c r="C7" s="9" t="s">
        <v>11</v>
      </c>
      <c r="D7" s="2">
        <v>600.0</v>
      </c>
      <c r="E7" s="10" t="s">
        <v>1</v>
      </c>
      <c r="F7" s="1"/>
      <c r="G7" s="8" t="s">
        <v>10</v>
      </c>
      <c r="H7" s="9" t="s">
        <v>11</v>
      </c>
      <c r="I7" s="2">
        <v>695.0</v>
      </c>
      <c r="J7" s="10" t="s">
        <v>1</v>
      </c>
      <c r="K7" s="1"/>
      <c r="L7" s="8" t="s">
        <v>10</v>
      </c>
      <c r="M7" s="9" t="s">
        <v>11</v>
      </c>
      <c r="N7" s="2">
        <v>300.0</v>
      </c>
      <c r="O7" s="10" t="s">
        <v>1</v>
      </c>
      <c r="P7" s="1"/>
      <c r="Q7" s="8" t="s">
        <v>10</v>
      </c>
      <c r="R7" s="9" t="s">
        <v>11</v>
      </c>
      <c r="S7" s="2">
        <v>383.0</v>
      </c>
      <c r="T7" s="10" t="s">
        <v>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ht="15.0" customHeight="1">
      <c r="B8" s="8" t="s">
        <v>12</v>
      </c>
      <c r="C8" s="9" t="s">
        <v>13</v>
      </c>
      <c r="D8" s="11">
        <v>400.0</v>
      </c>
      <c r="E8" s="10" t="s">
        <v>14</v>
      </c>
      <c r="F8" s="1"/>
      <c r="G8" s="8" t="s">
        <v>12</v>
      </c>
      <c r="H8" s="9" t="s">
        <v>13</v>
      </c>
      <c r="I8" s="11">
        <v>400.0</v>
      </c>
      <c r="J8" s="10" t="s">
        <v>14</v>
      </c>
      <c r="K8" s="1"/>
      <c r="L8" s="8" t="s">
        <v>12</v>
      </c>
      <c r="M8" s="9" t="s">
        <v>13</v>
      </c>
      <c r="N8" s="11">
        <v>407.16</v>
      </c>
      <c r="O8" s="10" t="s">
        <v>14</v>
      </c>
      <c r="P8" s="1"/>
      <c r="Q8" s="8" t="s">
        <v>12</v>
      </c>
      <c r="R8" s="9" t="s">
        <v>13</v>
      </c>
      <c r="S8" s="11">
        <v>407.16</v>
      </c>
      <c r="T8" s="10" t="s">
        <v>14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ht="15.0" customHeight="1">
      <c r="B9" s="8" t="s">
        <v>15</v>
      </c>
      <c r="C9" s="9" t="s">
        <v>16</v>
      </c>
      <c r="D9" s="12">
        <f>+(D6/1000)/(0.25*PI()*POWER(D8/1000,2))</f>
        <v>1.352817016</v>
      </c>
      <c r="E9" s="10" t="s">
        <v>17</v>
      </c>
      <c r="F9" s="1"/>
      <c r="G9" s="8" t="s">
        <v>15</v>
      </c>
      <c r="H9" s="9" t="s">
        <v>16</v>
      </c>
      <c r="I9" s="12">
        <f>+(I6/1000)/(0.25*PI()*POWER(I8/1000,2))</f>
        <v>1.352817016</v>
      </c>
      <c r="J9" s="10" t="s">
        <v>17</v>
      </c>
      <c r="K9" s="1"/>
      <c r="L9" s="8" t="s">
        <v>15</v>
      </c>
      <c r="M9" s="9" t="s">
        <v>16</v>
      </c>
      <c r="N9" s="12">
        <f>+(N6/1000)/(0.25*PI()*POWER(N8/1000,2))</f>
        <v>1.30565618</v>
      </c>
      <c r="O9" s="10" t="s">
        <v>17</v>
      </c>
      <c r="P9" s="1"/>
      <c r="Q9" s="8" t="s">
        <v>15</v>
      </c>
      <c r="R9" s="9" t="s">
        <v>16</v>
      </c>
      <c r="S9" s="12">
        <f>+(S6/1000)/(0.25*PI()*POWER(S8/1000,2))</f>
        <v>1.30565618</v>
      </c>
      <c r="T9" s="10" t="s">
        <v>17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ht="15.0" customHeight="1">
      <c r="B10" s="8" t="s">
        <v>18</v>
      </c>
      <c r="C10" s="9" t="s">
        <v>19</v>
      </c>
      <c r="D10" s="13">
        <v>1.14E-6</v>
      </c>
      <c r="E10" s="14" t="s">
        <v>20</v>
      </c>
      <c r="F10" s="1"/>
      <c r="G10" s="8" t="s">
        <v>18</v>
      </c>
      <c r="H10" s="9" t="s">
        <v>19</v>
      </c>
      <c r="I10" s="13">
        <v>1.14E-6</v>
      </c>
      <c r="J10" s="14" t="s">
        <v>20</v>
      </c>
      <c r="K10" s="1"/>
      <c r="L10" s="8" t="s">
        <v>18</v>
      </c>
      <c r="M10" s="9" t="s">
        <v>19</v>
      </c>
      <c r="N10" s="13">
        <v>1.14E-6</v>
      </c>
      <c r="O10" s="14" t="s">
        <v>20</v>
      </c>
      <c r="P10" s="1"/>
      <c r="Q10" s="8" t="s">
        <v>18</v>
      </c>
      <c r="R10" s="9" t="s">
        <v>19</v>
      </c>
      <c r="S10" s="13">
        <v>1.14E-6</v>
      </c>
      <c r="T10" s="14" t="s">
        <v>20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ht="15.0" customHeight="1">
      <c r="B11" s="8" t="s">
        <v>21</v>
      </c>
      <c r="C11" s="9" t="s">
        <v>22</v>
      </c>
      <c r="D11" s="1">
        <f>(0.35/1000)</f>
        <v>0.00035</v>
      </c>
      <c r="E11" s="10" t="s">
        <v>1</v>
      </c>
      <c r="F11" s="1"/>
      <c r="G11" s="8" t="s">
        <v>21</v>
      </c>
      <c r="H11" s="9" t="s">
        <v>22</v>
      </c>
      <c r="I11" s="1">
        <f>(0.35/1000)</f>
        <v>0.00035</v>
      </c>
      <c r="J11" s="10" t="s">
        <v>1</v>
      </c>
      <c r="K11" s="1"/>
      <c r="L11" s="8" t="s">
        <v>21</v>
      </c>
      <c r="M11" s="9" t="s">
        <v>22</v>
      </c>
      <c r="N11" s="1">
        <f>0.0015/1000</f>
        <v>0.0000015</v>
      </c>
      <c r="O11" s="10" t="s">
        <v>1</v>
      </c>
      <c r="P11" s="1"/>
      <c r="Q11" s="8" t="s">
        <v>21</v>
      </c>
      <c r="R11" s="9" t="s">
        <v>22</v>
      </c>
      <c r="S11" s="1">
        <f>+N11</f>
        <v>0.0000015</v>
      </c>
      <c r="T11" s="10" t="s">
        <v>1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ht="15.0" customHeight="1">
      <c r="A12" s="1"/>
      <c r="B12" s="8" t="s">
        <v>23</v>
      </c>
      <c r="C12" s="9" t="s">
        <v>24</v>
      </c>
      <c r="D12" s="13">
        <f>+D11/(D8/1000)</f>
        <v>0.000875</v>
      </c>
      <c r="E12" s="10"/>
      <c r="F12" s="1"/>
      <c r="G12" s="8" t="s">
        <v>23</v>
      </c>
      <c r="H12" s="9" t="s">
        <v>24</v>
      </c>
      <c r="I12" s="13">
        <f>+I11/(I8/1000)</f>
        <v>0.000875</v>
      </c>
      <c r="J12" s="10"/>
      <c r="K12" s="1"/>
      <c r="L12" s="8" t="s">
        <v>23</v>
      </c>
      <c r="M12" s="9" t="s">
        <v>24</v>
      </c>
      <c r="N12" s="13">
        <f>+N11/(N8/1000)</f>
        <v>0.000003684055408</v>
      </c>
      <c r="O12" s="10"/>
      <c r="P12" s="1"/>
      <c r="Q12" s="8" t="s">
        <v>23</v>
      </c>
      <c r="R12" s="9" t="s">
        <v>24</v>
      </c>
      <c r="S12" s="13">
        <f>+S11/(S8/1000)</f>
        <v>0.000003684055408</v>
      </c>
      <c r="T12" s="1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ht="15.0" customHeight="1">
      <c r="A13" s="1"/>
      <c r="B13" s="8" t="s">
        <v>25</v>
      </c>
      <c r="C13" s="9" t="s">
        <v>26</v>
      </c>
      <c r="D13" s="2">
        <f>(D9*D8/1000)/(D10)</f>
        <v>474672.6373</v>
      </c>
      <c r="E13" s="10"/>
      <c r="F13" s="1"/>
      <c r="G13" s="8" t="s">
        <v>25</v>
      </c>
      <c r="H13" s="9" t="s">
        <v>26</v>
      </c>
      <c r="I13" s="2">
        <f>(I9*I8/1000)/(I10)</f>
        <v>474672.6373</v>
      </c>
      <c r="J13" s="10"/>
      <c r="K13" s="1"/>
      <c r="L13" s="8" t="s">
        <v>25</v>
      </c>
      <c r="M13" s="9" t="s">
        <v>26</v>
      </c>
      <c r="N13" s="2">
        <f>(N9*N8/1000)/(N10)</f>
        <v>466325.4124</v>
      </c>
      <c r="O13" s="10"/>
      <c r="P13" s="1"/>
      <c r="Q13" s="8" t="s">
        <v>25</v>
      </c>
      <c r="R13" s="9" t="s">
        <v>26</v>
      </c>
      <c r="S13" s="2">
        <f>(S9*S8/1000)/(S10)</f>
        <v>466325.4124</v>
      </c>
      <c r="T13" s="10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ht="15.0" customHeight="1">
      <c r="A14" s="1"/>
      <c r="B14" s="8" t="s">
        <v>27</v>
      </c>
      <c r="C14" s="9" t="s">
        <v>28</v>
      </c>
      <c r="D14" s="1">
        <v>6.0</v>
      </c>
      <c r="E14" s="10"/>
      <c r="F14" s="1"/>
      <c r="G14" s="8" t="s">
        <v>27</v>
      </c>
      <c r="H14" s="9" t="s">
        <v>28</v>
      </c>
      <c r="I14" s="1">
        <v>6.0</v>
      </c>
      <c r="J14" s="10"/>
      <c r="K14" s="1"/>
      <c r="L14" s="8" t="s">
        <v>27</v>
      </c>
      <c r="M14" s="9" t="s">
        <v>28</v>
      </c>
      <c r="N14" s="1">
        <v>8.0</v>
      </c>
      <c r="O14" s="10"/>
      <c r="P14" s="1"/>
      <c r="Q14" s="8" t="s">
        <v>27</v>
      </c>
      <c r="R14" s="9" t="s">
        <v>28</v>
      </c>
      <c r="S14" s="1">
        <v>10.0</v>
      </c>
      <c r="T14" s="10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ht="15.0" customHeight="1">
      <c r="A15" s="1"/>
      <c r="B15" s="8"/>
      <c r="C15" s="1"/>
      <c r="D15" s="1"/>
      <c r="E15" s="10"/>
      <c r="F15" s="1"/>
      <c r="G15" s="8"/>
      <c r="H15" s="1"/>
      <c r="I15" s="1"/>
      <c r="J15" s="10"/>
      <c r="K15" s="1"/>
      <c r="L15" s="8"/>
      <c r="M15" s="1"/>
      <c r="N15" s="1"/>
      <c r="O15" s="10"/>
      <c r="P15" s="1"/>
      <c r="Q15" s="8"/>
      <c r="R15" s="1"/>
      <c r="S15" s="1"/>
      <c r="T15" s="10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ht="15.0" customHeight="1">
      <c r="A16" s="1"/>
      <c r="B16" s="15" t="s">
        <v>29</v>
      </c>
      <c r="C16" s="16" t="s">
        <v>30</v>
      </c>
      <c r="D16" s="16" t="s">
        <v>31</v>
      </c>
      <c r="E16" s="17" t="s">
        <v>29</v>
      </c>
      <c r="F16" s="1"/>
      <c r="G16" s="15" t="s">
        <v>29</v>
      </c>
      <c r="H16" s="16" t="s">
        <v>30</v>
      </c>
      <c r="I16" s="16" t="s">
        <v>31</v>
      </c>
      <c r="J16" s="17" t="s">
        <v>29</v>
      </c>
      <c r="K16" s="1"/>
      <c r="L16" s="15" t="s">
        <v>29</v>
      </c>
      <c r="M16" s="16" t="s">
        <v>30</v>
      </c>
      <c r="N16" s="16" t="s">
        <v>31</v>
      </c>
      <c r="O16" s="17" t="s">
        <v>29</v>
      </c>
      <c r="P16" s="1"/>
      <c r="Q16" s="15" t="s">
        <v>29</v>
      </c>
      <c r="R16" s="16" t="s">
        <v>30</v>
      </c>
      <c r="S16" s="16" t="s">
        <v>31</v>
      </c>
      <c r="T16" s="17" t="s">
        <v>29</v>
      </c>
      <c r="U16" s="1"/>
      <c r="V16" s="1"/>
      <c r="W16" s="1"/>
      <c r="X16" s="1"/>
      <c r="Y16" s="18" t="s">
        <v>32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ht="15.0" customHeight="1">
      <c r="A17" s="1"/>
      <c r="B17" s="8"/>
      <c r="C17" s="19">
        <f>+D13</f>
        <v>474672.6373</v>
      </c>
      <c r="D17" s="1"/>
      <c r="E17" s="10"/>
      <c r="F17" s="1"/>
      <c r="G17" s="8"/>
      <c r="H17" s="19">
        <f>+I13</f>
        <v>474672.6373</v>
      </c>
      <c r="I17" s="1"/>
      <c r="J17" s="10"/>
      <c r="K17" s="1"/>
      <c r="L17" s="8"/>
      <c r="M17" s="19">
        <f>+N13</f>
        <v>466325.4124</v>
      </c>
      <c r="N17" s="1"/>
      <c r="O17" s="10"/>
      <c r="P17" s="1"/>
      <c r="Q17" s="8"/>
      <c r="R17" s="19">
        <f>+S13</f>
        <v>466325.4124</v>
      </c>
      <c r="S17" s="1"/>
      <c r="T17" s="10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ht="15.0" customHeight="1">
      <c r="A18" s="1"/>
      <c r="B18" s="20">
        <v>0.001</v>
      </c>
      <c r="C18" s="9">
        <f>1/(SQRT(B18))</f>
        <v>31.6227766</v>
      </c>
      <c r="D18" s="9">
        <f t="shared" ref="D18:D27" si="1">-2*LOG10($D$11/(3.7*($D$8/1000))+(2.51*C18)/$C$17)</f>
        <v>6.787875748</v>
      </c>
      <c r="E18" s="21">
        <f t="shared" ref="E18:E27" si="2">1/(POWER(D18,2))</f>
        <v>0.02170362275</v>
      </c>
      <c r="F18" s="1"/>
      <c r="G18" s="20">
        <v>0.001</v>
      </c>
      <c r="H18" s="9">
        <f>1/(SQRT(G18))</f>
        <v>31.6227766</v>
      </c>
      <c r="I18" s="9">
        <f t="shared" ref="I18:I27" si="3">-2*LOG10($D$11/(3.7*($D$8/1000))+(2.51*H18)/$C$17)</f>
        <v>6.787875748</v>
      </c>
      <c r="J18" s="21">
        <f t="shared" ref="J18:J27" si="4">1/(POWER(I18,2))</f>
        <v>0.02170362275</v>
      </c>
      <c r="K18" s="1"/>
      <c r="L18" s="20">
        <v>0.001</v>
      </c>
      <c r="M18" s="9">
        <f>1/(SQRT(L18))</f>
        <v>31.6227766</v>
      </c>
      <c r="N18" s="9">
        <f t="shared" ref="N18:N27" si="5">-2*LOG10($D$11/(3.7*($D$8/1000))+(2.51*M18)/$C$17)</f>
        <v>6.787875748</v>
      </c>
      <c r="O18" s="21">
        <f t="shared" ref="O18:O27" si="6">1/(POWER(N18,2))</f>
        <v>0.02170362275</v>
      </c>
      <c r="P18" s="1"/>
      <c r="Q18" s="20">
        <v>0.001</v>
      </c>
      <c r="R18" s="9">
        <f>1/(SQRT(Q18))</f>
        <v>31.6227766</v>
      </c>
      <c r="S18" s="9">
        <f t="shared" ref="S18:S27" si="7">-2*LOG10($D$11/(3.7*($D$8/1000))+(2.51*R18)/$C$17)</f>
        <v>6.787875748</v>
      </c>
      <c r="T18" s="21">
        <f t="shared" ref="T18:T27" si="8">1/(POWER(S18,2))</f>
        <v>0.02170362275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ht="15.0" customHeight="1">
      <c r="A19" s="1"/>
      <c r="B19" s="20">
        <f t="shared" ref="B19:B27" si="9">+E18</f>
        <v>0.02170362275</v>
      </c>
      <c r="C19" s="9">
        <f t="shared" ref="C19:C27" si="10">+C18-((D18-C18)/(E18-1))</f>
        <v>6.236910487</v>
      </c>
      <c r="D19" s="9">
        <f t="shared" si="1"/>
        <v>7.138990876</v>
      </c>
      <c r="E19" s="21">
        <f t="shared" si="2"/>
        <v>0.01962123531</v>
      </c>
      <c r="F19" s="1"/>
      <c r="G19" s="20">
        <f t="shared" ref="G19:G27" si="11">+J18</f>
        <v>0.02170362275</v>
      </c>
      <c r="H19" s="9">
        <f t="shared" ref="H19:H27" si="12">+H18-((I18-H18)/(J18-1))</f>
        <v>6.236910487</v>
      </c>
      <c r="I19" s="9">
        <f t="shared" si="3"/>
        <v>7.138990876</v>
      </c>
      <c r="J19" s="21">
        <f t="shared" si="4"/>
        <v>0.01962123531</v>
      </c>
      <c r="K19" s="1"/>
      <c r="L19" s="20">
        <f t="shared" ref="L19:L27" si="13">+O18</f>
        <v>0.02170362275</v>
      </c>
      <c r="M19" s="9">
        <f t="shared" ref="M19:M27" si="14">+M18-((N18-M18)/(O18-1))</f>
        <v>6.236910487</v>
      </c>
      <c r="N19" s="9">
        <f t="shared" si="5"/>
        <v>7.138990876</v>
      </c>
      <c r="O19" s="21">
        <f t="shared" si="6"/>
        <v>0.01962123531</v>
      </c>
      <c r="P19" s="1"/>
      <c r="Q19" s="20">
        <f t="shared" ref="Q19:Q27" si="15">+T18</f>
        <v>0.02170362275</v>
      </c>
      <c r="R19" s="9">
        <f t="shared" ref="R19:R27" si="16">+R18-((S18-R18)/(T18-1))</f>
        <v>6.236910487</v>
      </c>
      <c r="S19" s="9">
        <f t="shared" si="7"/>
        <v>7.138990876</v>
      </c>
      <c r="T19" s="21">
        <f t="shared" si="8"/>
        <v>0.01962123531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ht="15.0" customHeight="1">
      <c r="A20" s="1"/>
      <c r="B20" s="20">
        <f t="shared" si="9"/>
        <v>0.01962123531</v>
      </c>
      <c r="C20" s="9">
        <f t="shared" si="10"/>
        <v>7.157045053</v>
      </c>
      <c r="D20" s="9">
        <f t="shared" si="1"/>
        <v>7.123447372</v>
      </c>
      <c r="E20" s="21">
        <f t="shared" si="2"/>
        <v>0.01970695659</v>
      </c>
      <c r="F20" s="1"/>
      <c r="G20" s="20">
        <f t="shared" si="11"/>
        <v>0.01962123531</v>
      </c>
      <c r="H20" s="9">
        <f t="shared" si="12"/>
        <v>7.157045053</v>
      </c>
      <c r="I20" s="9">
        <f t="shared" si="3"/>
        <v>7.123447372</v>
      </c>
      <c r="J20" s="21">
        <f t="shared" si="4"/>
        <v>0.01970695659</v>
      </c>
      <c r="K20" s="1"/>
      <c r="L20" s="20">
        <f t="shared" si="13"/>
        <v>0.01962123531</v>
      </c>
      <c r="M20" s="9">
        <f t="shared" si="14"/>
        <v>7.157045053</v>
      </c>
      <c r="N20" s="9">
        <f t="shared" si="5"/>
        <v>7.123447372</v>
      </c>
      <c r="O20" s="21">
        <f t="shared" si="6"/>
        <v>0.01970695659</v>
      </c>
      <c r="P20" s="1"/>
      <c r="Q20" s="20">
        <f t="shared" si="15"/>
        <v>0.01962123531</v>
      </c>
      <c r="R20" s="9">
        <f t="shared" si="16"/>
        <v>7.157045053</v>
      </c>
      <c r="S20" s="9">
        <f t="shared" si="7"/>
        <v>7.123447372</v>
      </c>
      <c r="T20" s="21">
        <f t="shared" si="8"/>
        <v>0.01970695659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ht="15.0" customHeight="1">
      <c r="A21" s="1"/>
      <c r="B21" s="20">
        <f t="shared" si="9"/>
        <v>0.01970695659</v>
      </c>
      <c r="C21" s="9">
        <f t="shared" si="10"/>
        <v>7.122771953</v>
      </c>
      <c r="D21" s="9">
        <f t="shared" si="1"/>
        <v>7.124021375</v>
      </c>
      <c r="E21" s="21">
        <f t="shared" si="2"/>
        <v>0.01970378102</v>
      </c>
      <c r="F21" s="1"/>
      <c r="G21" s="20">
        <f t="shared" si="11"/>
        <v>0.01970695659</v>
      </c>
      <c r="H21" s="9">
        <f t="shared" si="12"/>
        <v>7.122771953</v>
      </c>
      <c r="I21" s="9">
        <f t="shared" si="3"/>
        <v>7.124021375</v>
      </c>
      <c r="J21" s="21">
        <f t="shared" si="4"/>
        <v>0.01970378102</v>
      </c>
      <c r="K21" s="1"/>
      <c r="L21" s="20">
        <f t="shared" si="13"/>
        <v>0.01970695659</v>
      </c>
      <c r="M21" s="9">
        <f t="shared" si="14"/>
        <v>7.122771953</v>
      </c>
      <c r="N21" s="9">
        <f t="shared" si="5"/>
        <v>7.124021375</v>
      </c>
      <c r="O21" s="21">
        <f t="shared" si="6"/>
        <v>0.01970378102</v>
      </c>
      <c r="P21" s="1"/>
      <c r="Q21" s="20">
        <f t="shared" si="15"/>
        <v>0.01970695659</v>
      </c>
      <c r="R21" s="9">
        <f t="shared" si="16"/>
        <v>7.122771953</v>
      </c>
      <c r="S21" s="9">
        <f t="shared" si="7"/>
        <v>7.124021375</v>
      </c>
      <c r="T21" s="21">
        <f t="shared" si="8"/>
        <v>0.01970378102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ht="15.0" customHeight="1">
      <c r="A22" s="1"/>
      <c r="B22" s="20">
        <f t="shared" si="9"/>
        <v>0.01970378102</v>
      </c>
      <c r="C22" s="9">
        <f t="shared" si="10"/>
        <v>7.124046488</v>
      </c>
      <c r="D22" s="9">
        <f t="shared" si="1"/>
        <v>7.124000022</v>
      </c>
      <c r="E22" s="21">
        <f t="shared" si="2"/>
        <v>0.01970389914</v>
      </c>
      <c r="F22" s="1"/>
      <c r="G22" s="20">
        <f t="shared" si="11"/>
        <v>0.01970378102</v>
      </c>
      <c r="H22" s="9">
        <f t="shared" si="12"/>
        <v>7.124046488</v>
      </c>
      <c r="I22" s="9">
        <f t="shared" si="3"/>
        <v>7.124000022</v>
      </c>
      <c r="J22" s="21">
        <f t="shared" si="4"/>
        <v>0.01970389914</v>
      </c>
      <c r="K22" s="1"/>
      <c r="L22" s="20">
        <f t="shared" si="13"/>
        <v>0.01970378102</v>
      </c>
      <c r="M22" s="9">
        <f t="shared" si="14"/>
        <v>7.124046488</v>
      </c>
      <c r="N22" s="9">
        <f t="shared" si="5"/>
        <v>7.124000022</v>
      </c>
      <c r="O22" s="21">
        <f t="shared" si="6"/>
        <v>0.01970389914</v>
      </c>
      <c r="P22" s="1"/>
      <c r="Q22" s="20">
        <f t="shared" si="15"/>
        <v>0.01970378102</v>
      </c>
      <c r="R22" s="9">
        <f t="shared" si="16"/>
        <v>7.124046488</v>
      </c>
      <c r="S22" s="9">
        <f t="shared" si="7"/>
        <v>7.124000022</v>
      </c>
      <c r="T22" s="21">
        <f t="shared" si="8"/>
        <v>0.01970389914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ht="15.0" customHeight="1">
      <c r="A23" s="1"/>
      <c r="B23" s="20">
        <f t="shared" si="9"/>
        <v>0.01970389914</v>
      </c>
      <c r="C23" s="9">
        <f t="shared" si="10"/>
        <v>7.123999088</v>
      </c>
      <c r="D23" s="9">
        <f t="shared" si="1"/>
        <v>7.124000816</v>
      </c>
      <c r="E23" s="21">
        <f t="shared" si="2"/>
        <v>0.01970389474</v>
      </c>
      <c r="F23" s="1"/>
      <c r="G23" s="20">
        <f t="shared" si="11"/>
        <v>0.01970389914</v>
      </c>
      <c r="H23" s="9">
        <f t="shared" si="12"/>
        <v>7.123999088</v>
      </c>
      <c r="I23" s="9">
        <f t="shared" si="3"/>
        <v>7.124000816</v>
      </c>
      <c r="J23" s="21">
        <f t="shared" si="4"/>
        <v>0.01970389474</v>
      </c>
      <c r="K23" s="1"/>
      <c r="L23" s="20">
        <f t="shared" si="13"/>
        <v>0.01970389914</v>
      </c>
      <c r="M23" s="9">
        <f t="shared" si="14"/>
        <v>7.123999088</v>
      </c>
      <c r="N23" s="9">
        <f t="shared" si="5"/>
        <v>7.124000816</v>
      </c>
      <c r="O23" s="21">
        <f t="shared" si="6"/>
        <v>0.01970389474</v>
      </c>
      <c r="P23" s="1"/>
      <c r="Q23" s="20">
        <f t="shared" si="15"/>
        <v>0.01970389914</v>
      </c>
      <c r="R23" s="9">
        <f t="shared" si="16"/>
        <v>7.123999088</v>
      </c>
      <c r="S23" s="9">
        <f t="shared" si="7"/>
        <v>7.124000816</v>
      </c>
      <c r="T23" s="21">
        <f t="shared" si="8"/>
        <v>0.01970389474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ht="15.0" customHeight="1">
      <c r="A24" s="1"/>
      <c r="B24" s="20">
        <f t="shared" si="9"/>
        <v>0.01970389474</v>
      </c>
      <c r="C24" s="9">
        <f t="shared" si="10"/>
        <v>7.124000851</v>
      </c>
      <c r="D24" s="9">
        <f t="shared" si="1"/>
        <v>7.124000787</v>
      </c>
      <c r="E24" s="21">
        <f t="shared" si="2"/>
        <v>0.01970389491</v>
      </c>
      <c r="F24" s="1"/>
      <c r="G24" s="20">
        <f t="shared" si="11"/>
        <v>0.01970389474</v>
      </c>
      <c r="H24" s="9">
        <f t="shared" si="12"/>
        <v>7.124000851</v>
      </c>
      <c r="I24" s="9">
        <f t="shared" si="3"/>
        <v>7.124000787</v>
      </c>
      <c r="J24" s="21">
        <f t="shared" si="4"/>
        <v>0.01970389491</v>
      </c>
      <c r="K24" s="1"/>
      <c r="L24" s="20">
        <f t="shared" si="13"/>
        <v>0.01970389474</v>
      </c>
      <c r="M24" s="9">
        <f t="shared" si="14"/>
        <v>7.124000851</v>
      </c>
      <c r="N24" s="9">
        <f t="shared" si="5"/>
        <v>7.124000787</v>
      </c>
      <c r="O24" s="21">
        <f t="shared" si="6"/>
        <v>0.01970389491</v>
      </c>
      <c r="P24" s="1"/>
      <c r="Q24" s="20">
        <f t="shared" si="15"/>
        <v>0.01970389474</v>
      </c>
      <c r="R24" s="9">
        <f t="shared" si="16"/>
        <v>7.124000851</v>
      </c>
      <c r="S24" s="9">
        <f t="shared" si="7"/>
        <v>7.124000787</v>
      </c>
      <c r="T24" s="21">
        <f t="shared" si="8"/>
        <v>0.01970389491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ht="15.0" customHeight="1">
      <c r="A25" s="1"/>
      <c r="B25" s="20">
        <f t="shared" si="9"/>
        <v>0.01970389491</v>
      </c>
      <c r="C25" s="9">
        <f t="shared" si="10"/>
        <v>7.124000786</v>
      </c>
      <c r="D25" s="9">
        <f t="shared" si="1"/>
        <v>7.124000788</v>
      </c>
      <c r="E25" s="21">
        <f t="shared" si="2"/>
        <v>0.0197038949</v>
      </c>
      <c r="F25" s="1"/>
      <c r="G25" s="20">
        <f t="shared" si="11"/>
        <v>0.01970389491</v>
      </c>
      <c r="H25" s="9">
        <f t="shared" si="12"/>
        <v>7.124000786</v>
      </c>
      <c r="I25" s="9">
        <f t="shared" si="3"/>
        <v>7.124000788</v>
      </c>
      <c r="J25" s="21">
        <f t="shared" si="4"/>
        <v>0.0197038949</v>
      </c>
      <c r="K25" s="1"/>
      <c r="L25" s="20">
        <f t="shared" si="13"/>
        <v>0.01970389491</v>
      </c>
      <c r="M25" s="9">
        <f t="shared" si="14"/>
        <v>7.124000786</v>
      </c>
      <c r="N25" s="9">
        <f t="shared" si="5"/>
        <v>7.124000788</v>
      </c>
      <c r="O25" s="21">
        <f t="shared" si="6"/>
        <v>0.0197038949</v>
      </c>
      <c r="P25" s="1"/>
      <c r="Q25" s="20">
        <f t="shared" si="15"/>
        <v>0.01970389491</v>
      </c>
      <c r="R25" s="9">
        <f t="shared" si="16"/>
        <v>7.124000786</v>
      </c>
      <c r="S25" s="9">
        <f t="shared" si="7"/>
        <v>7.124000788</v>
      </c>
      <c r="T25" s="21">
        <f t="shared" si="8"/>
        <v>0.0197038949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ht="15.0" customHeight="1">
      <c r="A26" s="1"/>
      <c r="B26" s="20">
        <f t="shared" si="9"/>
        <v>0.0197038949</v>
      </c>
      <c r="C26" s="9">
        <f t="shared" si="10"/>
        <v>7.124000788</v>
      </c>
      <c r="D26" s="9">
        <f t="shared" si="1"/>
        <v>7.124000788</v>
      </c>
      <c r="E26" s="21">
        <f t="shared" si="2"/>
        <v>0.0197038949</v>
      </c>
      <c r="F26" s="1"/>
      <c r="G26" s="20">
        <f t="shared" si="11"/>
        <v>0.0197038949</v>
      </c>
      <c r="H26" s="9">
        <f t="shared" si="12"/>
        <v>7.124000788</v>
      </c>
      <c r="I26" s="9">
        <f t="shared" si="3"/>
        <v>7.124000788</v>
      </c>
      <c r="J26" s="21">
        <f t="shared" si="4"/>
        <v>0.0197038949</v>
      </c>
      <c r="K26" s="1"/>
      <c r="L26" s="20">
        <f t="shared" si="13"/>
        <v>0.0197038949</v>
      </c>
      <c r="M26" s="9">
        <f t="shared" si="14"/>
        <v>7.124000788</v>
      </c>
      <c r="N26" s="9">
        <f t="shared" si="5"/>
        <v>7.124000788</v>
      </c>
      <c r="O26" s="21">
        <f t="shared" si="6"/>
        <v>0.0197038949</v>
      </c>
      <c r="P26" s="1"/>
      <c r="Q26" s="20">
        <f t="shared" si="15"/>
        <v>0.0197038949</v>
      </c>
      <c r="R26" s="9">
        <f t="shared" si="16"/>
        <v>7.124000788</v>
      </c>
      <c r="S26" s="9">
        <f t="shared" si="7"/>
        <v>7.124000788</v>
      </c>
      <c r="T26" s="21">
        <f t="shared" si="8"/>
        <v>0.0197038949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ht="15.0" customHeight="1">
      <c r="A27" s="1"/>
      <c r="B27" s="20">
        <f t="shared" si="9"/>
        <v>0.0197038949</v>
      </c>
      <c r="C27" s="9">
        <f t="shared" si="10"/>
        <v>7.124000788</v>
      </c>
      <c r="D27" s="9">
        <f t="shared" si="1"/>
        <v>7.124000788</v>
      </c>
      <c r="E27" s="21">
        <f t="shared" si="2"/>
        <v>0.0197038949</v>
      </c>
      <c r="F27" s="1"/>
      <c r="G27" s="20">
        <f t="shared" si="11"/>
        <v>0.0197038949</v>
      </c>
      <c r="H27" s="9">
        <f t="shared" si="12"/>
        <v>7.124000788</v>
      </c>
      <c r="I27" s="9">
        <f t="shared" si="3"/>
        <v>7.124000788</v>
      </c>
      <c r="J27" s="21">
        <f t="shared" si="4"/>
        <v>0.0197038949</v>
      </c>
      <c r="K27" s="1"/>
      <c r="L27" s="20">
        <f t="shared" si="13"/>
        <v>0.0197038949</v>
      </c>
      <c r="M27" s="9">
        <f t="shared" si="14"/>
        <v>7.124000788</v>
      </c>
      <c r="N27" s="9">
        <f t="shared" si="5"/>
        <v>7.124000788</v>
      </c>
      <c r="O27" s="21">
        <f t="shared" si="6"/>
        <v>0.0197038949</v>
      </c>
      <c r="P27" s="1"/>
      <c r="Q27" s="20">
        <f t="shared" si="15"/>
        <v>0.0197038949</v>
      </c>
      <c r="R27" s="9">
        <f t="shared" si="16"/>
        <v>7.124000788</v>
      </c>
      <c r="S27" s="9">
        <f t="shared" si="7"/>
        <v>7.124000788</v>
      </c>
      <c r="T27" s="21">
        <f t="shared" si="8"/>
        <v>0.0197038949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ht="15.0" customHeight="1">
      <c r="A28" s="1"/>
      <c r="B28" s="8"/>
      <c r="C28" s="22" t="s">
        <v>111</v>
      </c>
      <c r="D28" s="11">
        <f>+D14*((POWER(D9,2))/(2*9.81))</f>
        <v>0.5596678531</v>
      </c>
      <c r="E28" s="10" t="s">
        <v>1</v>
      </c>
      <c r="F28" s="1"/>
      <c r="G28" s="8"/>
      <c r="H28" s="22" t="s">
        <v>112</v>
      </c>
      <c r="I28" s="11">
        <f>+I14*((POWER(I9,2))/(2*9.81))</f>
        <v>0.5596678531</v>
      </c>
      <c r="J28" s="10" t="s">
        <v>1</v>
      </c>
      <c r="K28" s="1"/>
      <c r="L28" s="8"/>
      <c r="M28" s="22" t="s">
        <v>113</v>
      </c>
      <c r="N28" s="11">
        <f>+N14*((POWER(N9,2))/(2*9.81))</f>
        <v>0.695102165</v>
      </c>
      <c r="O28" s="10" t="s">
        <v>1</v>
      </c>
      <c r="P28" s="1"/>
      <c r="Q28" s="8"/>
      <c r="R28" s="22" t="s">
        <v>114</v>
      </c>
      <c r="S28" s="11">
        <f>+S14*((POWER(S9,2))/(2*9.81))</f>
        <v>0.8688777063</v>
      </c>
      <c r="T28" s="10" t="s">
        <v>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ht="15.0" customHeight="1">
      <c r="A29" s="1"/>
      <c r="B29" s="8"/>
      <c r="C29" s="9" t="s">
        <v>37</v>
      </c>
      <c r="D29" s="11">
        <f>+E27*(D7/(D8/1000))*(POWER(D9,2)/(2*9.81))</f>
        <v>2.756909139</v>
      </c>
      <c r="E29" s="10" t="s">
        <v>1</v>
      </c>
      <c r="F29" s="1"/>
      <c r="G29" s="8"/>
      <c r="H29" s="9" t="s">
        <v>37</v>
      </c>
      <c r="I29" s="11">
        <f>+J27*(I7/(I8/1000))*(POWER(I9,2)/(2*9.81))</f>
        <v>3.193419753</v>
      </c>
      <c r="J29" s="10" t="s">
        <v>1</v>
      </c>
      <c r="K29" s="1"/>
      <c r="L29" s="8"/>
      <c r="M29" s="9" t="s">
        <v>37</v>
      </c>
      <c r="N29" s="11">
        <f>+O27*(N7/(N8/1000))*(POWER(N9,2)/(2*9.81))</f>
        <v>1.261440835</v>
      </c>
      <c r="O29" s="10" t="s">
        <v>1</v>
      </c>
      <c r="P29" s="1"/>
      <c r="Q29" s="8"/>
      <c r="R29" s="9" t="s">
        <v>37</v>
      </c>
      <c r="S29" s="11">
        <f>+T27*(S7/(S8/1000))*(POWER(S9,2)/(2*9.81))</f>
        <v>1.610439465</v>
      </c>
      <c r="T29" s="10" t="s">
        <v>1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ht="15.75" customHeight="1">
      <c r="A30" s="1"/>
      <c r="B30" s="23"/>
      <c r="C30" s="24" t="s">
        <v>38</v>
      </c>
      <c r="D30" s="25">
        <f>+D29/D7*1000</f>
        <v>4.594848565</v>
      </c>
      <c r="E30" s="26" t="s">
        <v>39</v>
      </c>
      <c r="F30" s="1"/>
      <c r="G30" s="23"/>
      <c r="H30" s="24" t="s">
        <v>38</v>
      </c>
      <c r="I30" s="25">
        <f>+I29/I7*1000</f>
        <v>4.594848565</v>
      </c>
      <c r="J30" s="26" t="s">
        <v>39</v>
      </c>
      <c r="K30" s="1"/>
      <c r="L30" s="23"/>
      <c r="M30" s="24" t="s">
        <v>38</v>
      </c>
      <c r="N30" s="25">
        <f>+N29/N7*1000</f>
        <v>4.204802782</v>
      </c>
      <c r="O30" s="26" t="s">
        <v>39</v>
      </c>
      <c r="P30" s="1"/>
      <c r="Q30" s="23"/>
      <c r="R30" s="24" t="s">
        <v>38</v>
      </c>
      <c r="S30" s="25">
        <f>+S29/S7*1000</f>
        <v>4.204802782</v>
      </c>
      <c r="T30" s="26" t="s">
        <v>39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ht="15.0" customHeight="1">
      <c r="A31" s="1"/>
      <c r="B31" s="1"/>
      <c r="C31" s="1"/>
      <c r="D31" s="12">
        <f>+D29*0.1</f>
        <v>0.2756909139</v>
      </c>
      <c r="E31" s="1"/>
      <c r="F31" s="1"/>
      <c r="G31" s="1"/>
      <c r="H31" s="1"/>
      <c r="I31" s="12">
        <f>+I29*0.1</f>
        <v>0.3193419753</v>
      </c>
      <c r="J31" s="1"/>
      <c r="K31" s="1"/>
      <c r="L31" s="1"/>
      <c r="M31" s="1"/>
      <c r="N31" s="12">
        <f>+N29*0.1</f>
        <v>0.1261440835</v>
      </c>
      <c r="O31" s="1"/>
      <c r="P31" s="1"/>
      <c r="Q31" s="1"/>
      <c r="R31" s="1"/>
      <c r="S31" s="12">
        <f>+S29*0.1</f>
        <v>0.1610439465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ht="15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">
        <v>40</v>
      </c>
      <c r="N32" s="1">
        <v>0.0015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8" t="s">
        <v>41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ht="12.75" customHeight="1">
      <c r="A33" s="1"/>
      <c r="B33" s="27" t="s">
        <v>42</v>
      </c>
      <c r="C33" s="1"/>
      <c r="D33" s="1"/>
      <c r="E33" s="11">
        <v>170.0</v>
      </c>
      <c r="F33" s="1" t="s">
        <v>9</v>
      </c>
      <c r="G33" s="1" t="s">
        <v>43</v>
      </c>
      <c r="H33" s="1"/>
      <c r="I33" s="1"/>
      <c r="J33" s="1"/>
      <c r="K33" s="1"/>
      <c r="L33" s="1"/>
      <c r="M33" s="1" t="s">
        <v>44</v>
      </c>
      <c r="N33" s="1">
        <v>0.35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ht="12.75" customHeight="1">
      <c r="A34" s="1"/>
      <c r="B34" s="1" t="s">
        <v>45</v>
      </c>
      <c r="C34" s="1"/>
      <c r="D34" s="1"/>
      <c r="E34" s="11">
        <v>170.0</v>
      </c>
      <c r="F34" s="1" t="s">
        <v>9</v>
      </c>
      <c r="G34" s="1" t="s">
        <v>46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ht="12.75" customHeight="1">
      <c r="A35" s="1"/>
      <c r="B35" s="1"/>
      <c r="C35" s="1"/>
      <c r="D35" s="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ht="12.75" customHeight="1">
      <c r="A36" s="1"/>
      <c r="B36" s="1"/>
      <c r="C36" s="1"/>
      <c r="D36" s="1"/>
      <c r="E36" s="11"/>
      <c r="F36" s="1" t="s">
        <v>47</v>
      </c>
      <c r="G36" s="11">
        <f>+D29+I29+N29+S29</f>
        <v>8.822209192</v>
      </c>
      <c r="H36" s="1"/>
      <c r="I36" s="1"/>
      <c r="J36" s="1"/>
      <c r="K36" s="1"/>
      <c r="L36" s="1"/>
      <c r="M36" s="1"/>
      <c r="N36" s="1"/>
      <c r="O36" s="1">
        <f>8827+8220+1595</f>
        <v>18642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ht="12.75" customHeight="1">
      <c r="A37" s="1"/>
      <c r="B37" s="1"/>
      <c r="C37" s="1"/>
      <c r="D37" s="1"/>
      <c r="E37" s="11"/>
      <c r="F37" s="1" t="s">
        <v>48</v>
      </c>
      <c r="G37" s="11">
        <f>+D28+I28+N28+S28</f>
        <v>2.683315577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ht="12.75" customHeight="1">
      <c r="A38" s="1"/>
      <c r="B38" s="1"/>
      <c r="C38" s="2"/>
      <c r="D38" s="1"/>
      <c r="E38" s="11"/>
      <c r="F38" s="1"/>
      <c r="G38" s="1"/>
      <c r="H38" s="1"/>
      <c r="I38" s="1"/>
      <c r="J38" s="1"/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ht="12.75" customHeight="1">
      <c r="A40" s="1"/>
      <c r="B40" s="2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ht="12.75" customHeight="1">
      <c r="A41" s="1"/>
      <c r="B41" s="1" t="s">
        <v>50</v>
      </c>
      <c r="C41" s="1"/>
      <c r="D41" s="1">
        <v>340.1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ht="12.75" customHeight="1">
      <c r="A42" s="1"/>
      <c r="B42" s="1" t="s">
        <v>2</v>
      </c>
      <c r="C42" s="1"/>
      <c r="D42" s="1">
        <v>489.4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ht="12.75" customHeight="1">
      <c r="A43" s="1"/>
      <c r="B43" s="1" t="s">
        <v>51</v>
      </c>
      <c r="C43" s="1"/>
      <c r="D43" s="1">
        <v>1.0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ht="12.75" customHeight="1">
      <c r="A44" s="1"/>
      <c r="B44" s="1" t="s">
        <v>52</v>
      </c>
      <c r="C44" s="1"/>
      <c r="D44" s="1">
        <v>4.4</v>
      </c>
      <c r="E44" s="1" t="s">
        <v>53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ht="12.75" customHeight="1">
      <c r="A46" s="1"/>
      <c r="B46" s="27" t="s">
        <v>54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t="12.75" customHeight="1">
      <c r="A47" s="1"/>
      <c r="B47" s="1"/>
      <c r="C47" s="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ht="12.75" customHeight="1">
      <c r="A48" s="1"/>
      <c r="B48" s="1" t="s">
        <v>55</v>
      </c>
      <c r="C48" s="1"/>
      <c r="D48" s="11">
        <f>+D53</f>
        <v>164.4991346</v>
      </c>
      <c r="E48" s="1" t="s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ht="12.75" customHeight="1">
      <c r="A49" s="1"/>
      <c r="B49" s="1"/>
      <c r="C49" s="1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ht="12.75" customHeight="1">
      <c r="A50" s="1"/>
      <c r="B50" s="27" t="s">
        <v>56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ht="12.75" customHeight="1">
      <c r="A51" s="1"/>
      <c r="B51" s="1" t="s">
        <v>57</v>
      </c>
      <c r="C51" s="1"/>
      <c r="D51" s="11">
        <f>(D44-D43)+(D42-D41)+(D28+I28+N28+S28)+(D29+I29+N29+S29)+((S9^2)-(D9^2))/(2*9.81)</f>
        <v>164.1991346</v>
      </c>
      <c r="E51" s="1" t="s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ht="12.75" customHeight="1">
      <c r="A52" s="1"/>
      <c r="B52" s="1" t="s">
        <v>58</v>
      </c>
      <c r="C52" s="1"/>
      <c r="D52" s="1">
        <v>0.3</v>
      </c>
      <c r="E52" s="1" t="s">
        <v>1</v>
      </c>
      <c r="F52" s="27"/>
      <c r="G52" s="2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ht="12.75" customHeight="1">
      <c r="A53" s="1"/>
      <c r="B53" s="1" t="s">
        <v>59</v>
      </c>
      <c r="C53" s="1"/>
      <c r="D53" s="11">
        <f>+D51+D52</f>
        <v>164.4991346</v>
      </c>
      <c r="E53" s="1" t="s">
        <v>1</v>
      </c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ht="12.75" customHeight="1">
      <c r="A54" s="1"/>
      <c r="B54" s="1" t="s">
        <v>45</v>
      </c>
      <c r="C54" s="1"/>
      <c r="D54" s="11">
        <f>+E34</f>
        <v>170</v>
      </c>
      <c r="E54" s="1" t="s">
        <v>9</v>
      </c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ht="12.75" customHeight="1">
      <c r="A55" s="1"/>
      <c r="B55" s="1" t="s">
        <v>60</v>
      </c>
      <c r="C55" s="1"/>
      <c r="D55" s="1">
        <v>9810.0</v>
      </c>
      <c r="E55" s="1" t="s">
        <v>61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ht="12.75" customHeight="1">
      <c r="A56" s="1"/>
      <c r="B56" s="1" t="s">
        <v>62</v>
      </c>
      <c r="C56" s="1"/>
      <c r="D56" s="12">
        <v>0.73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ht="12.75" customHeight="1">
      <c r="A57" s="1"/>
      <c r="B57" s="1" t="s">
        <v>63</v>
      </c>
      <c r="C57" s="1"/>
      <c r="D57" s="12">
        <v>0.95</v>
      </c>
      <c r="E57" s="1"/>
      <c r="F57" s="1" t="s">
        <v>64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ht="12.75" customHeight="1">
      <c r="A58" s="1"/>
      <c r="B58" s="1" t="s">
        <v>65</v>
      </c>
      <c r="C58" s="1"/>
      <c r="D58" s="2">
        <f>D55*(D54/1000)*D53/(D56*D57)/745.7</f>
        <v>530.4823487</v>
      </c>
      <c r="E58" s="1" t="s">
        <v>66</v>
      </c>
      <c r="F58" s="12">
        <f>+D58/2</f>
        <v>265.2411743</v>
      </c>
      <c r="G58" s="1" t="s">
        <v>66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ht="12.75" customHeight="1">
      <c r="A60" s="1"/>
      <c r="B60" s="29" t="s">
        <v>67</v>
      </c>
      <c r="C60" s="29" t="s">
        <v>68</v>
      </c>
      <c r="D60" s="29" t="s">
        <v>69</v>
      </c>
      <c r="E60" s="29" t="s">
        <v>70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ht="12.75" customHeight="1">
      <c r="A61" s="1" t="s">
        <v>3</v>
      </c>
      <c r="B61" s="30" t="str">
        <f>+G61</f>
        <v/>
      </c>
      <c r="C61" s="29">
        <v>195.6</v>
      </c>
      <c r="D61" s="31">
        <v>0.0</v>
      </c>
      <c r="E61" s="32">
        <f t="shared" ref="E61:E62" si="17">+C61+D61</f>
        <v>195.6</v>
      </c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ht="12.75" customHeight="1">
      <c r="A62" s="1"/>
      <c r="B62" s="30">
        <v>0.0</v>
      </c>
      <c r="C62" s="29">
        <v>195.6</v>
      </c>
      <c r="D62" s="31">
        <f>+D48+D61</f>
        <v>164.4991346</v>
      </c>
      <c r="E62" s="32">
        <f t="shared" si="17"/>
        <v>360.0991346</v>
      </c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ht="12.75" customHeight="1">
      <c r="A63" s="1" t="s">
        <v>4</v>
      </c>
      <c r="B63" s="30">
        <f>+B62+D7</f>
        <v>600</v>
      </c>
      <c r="C63" s="29">
        <v>215.0</v>
      </c>
      <c r="D63" s="32">
        <f t="shared" ref="D63:D66" si="18">+E63-C63</f>
        <v>141.7825576</v>
      </c>
      <c r="E63" s="32">
        <f>+E62-D28-D29</f>
        <v>356.7825576</v>
      </c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ht="12.75" customHeight="1">
      <c r="A64" s="1" t="s">
        <v>5</v>
      </c>
      <c r="B64" s="33">
        <f>+B63+I7</f>
        <v>1295</v>
      </c>
      <c r="C64" s="34">
        <v>230.0</v>
      </c>
      <c r="D64" s="35">
        <f t="shared" si="18"/>
        <v>123.02947</v>
      </c>
      <c r="E64" s="35">
        <f>+E63-I28-I29</f>
        <v>353.02947</v>
      </c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ht="12.75" customHeight="1">
      <c r="A65" s="1"/>
      <c r="B65" s="30">
        <f>+B64+N7</f>
        <v>1595</v>
      </c>
      <c r="C65" s="29">
        <v>288.0</v>
      </c>
      <c r="D65" s="32">
        <f t="shared" si="18"/>
        <v>63.07292697</v>
      </c>
      <c r="E65" s="32">
        <f>+E64-N28-N29</f>
        <v>351.072927</v>
      </c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ht="12.75" customHeight="1">
      <c r="A66" s="1" t="s">
        <v>71</v>
      </c>
      <c r="B66" s="30">
        <f>+B65+S7</f>
        <v>1978</v>
      </c>
      <c r="C66" s="29">
        <v>344.5</v>
      </c>
      <c r="D66" s="32">
        <f t="shared" si="18"/>
        <v>4.093609795</v>
      </c>
      <c r="E66" s="32">
        <f>+E65-S28-S29</f>
        <v>348.5936098</v>
      </c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ht="12.75" customHeight="1">
      <c r="A67" s="1" t="s">
        <v>6</v>
      </c>
      <c r="B67" s="30">
        <f>+B66</f>
        <v>1978</v>
      </c>
      <c r="C67" s="29">
        <v>344.5</v>
      </c>
      <c r="D67" s="32">
        <v>4.4</v>
      </c>
      <c r="E67" s="32">
        <f>+C67+D67</f>
        <v>348.9</v>
      </c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ht="12.75" customHeight="1">
      <c r="A68" s="1"/>
      <c r="B68" s="30"/>
      <c r="C68" s="29"/>
      <c r="D68" s="32"/>
      <c r="E68" s="32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ht="12.75" customHeight="1">
      <c r="A69" s="1"/>
      <c r="B69" s="30"/>
      <c r="C69" s="29"/>
      <c r="D69" s="32"/>
      <c r="E69" s="32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ht="12.75" customHeight="1">
      <c r="A71" s="1"/>
      <c r="B71" s="27" t="s">
        <v>72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ht="12.75" customHeight="1">
      <c r="A78" s="1"/>
      <c r="B78" s="1"/>
      <c r="C78" s="1"/>
      <c r="D78" s="1"/>
      <c r="E78" s="1"/>
      <c r="F78" s="1"/>
      <c r="G78" s="27" t="s">
        <v>73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ht="12.75" customHeight="1">
      <c r="A79" s="1"/>
      <c r="B79" s="1"/>
      <c r="C79" s="1"/>
      <c r="D79" s="1"/>
      <c r="E79" s="1"/>
      <c r="F79" s="1"/>
      <c r="G79" s="1" t="s">
        <v>74</v>
      </c>
      <c r="H79" s="1"/>
      <c r="I79" s="1"/>
      <c r="J79" s="1"/>
      <c r="K79" s="1">
        <v>0.1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ht="12.75" customHeight="1">
      <c r="A80" s="1"/>
      <c r="B80" s="1"/>
      <c r="C80" s="1"/>
      <c r="D80" s="1"/>
      <c r="E80" s="1"/>
      <c r="F80" s="1"/>
      <c r="G80" s="1" t="s">
        <v>75</v>
      </c>
      <c r="H80" s="1"/>
      <c r="I80" s="1"/>
      <c r="J80" s="1"/>
      <c r="K80" s="1">
        <v>0.3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ht="12.75" customHeight="1">
      <c r="A81" s="1"/>
      <c r="B81" s="1"/>
      <c r="C81" s="1"/>
      <c r="D81" s="1"/>
      <c r="E81" s="1"/>
      <c r="F81" s="1"/>
      <c r="G81" s="1" t="s">
        <v>76</v>
      </c>
      <c r="H81" s="1"/>
      <c r="I81" s="1"/>
      <c r="J81" s="1"/>
      <c r="K81" s="1">
        <v>0.4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ht="12.75" customHeight="1">
      <c r="A82" s="1"/>
      <c r="B82" s="1"/>
      <c r="C82" s="1"/>
      <c r="D82" s="1"/>
      <c r="E82" s="1"/>
      <c r="F82" s="1"/>
      <c r="G82" s="1" t="s">
        <v>75</v>
      </c>
      <c r="H82" s="1"/>
      <c r="I82" s="1"/>
      <c r="J82" s="1"/>
      <c r="K82" s="1">
        <f>K80</f>
        <v>0.3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t="12.75" customHeight="1">
      <c r="A83" s="1"/>
      <c r="B83" s="1"/>
      <c r="C83" s="1"/>
      <c r="D83" s="1"/>
      <c r="E83" s="1"/>
      <c r="F83" s="1"/>
      <c r="G83" s="1" t="s">
        <v>77</v>
      </c>
      <c r="H83" s="1"/>
      <c r="I83" s="1"/>
      <c r="J83" s="1"/>
      <c r="K83" s="1">
        <v>0.15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t="12.75" customHeight="1">
      <c r="A84" s="1"/>
      <c r="B84" s="1"/>
      <c r="C84" s="1"/>
      <c r="D84" s="1"/>
      <c r="E84" s="1"/>
      <c r="F84" s="1"/>
      <c r="G84" s="1" t="s">
        <v>78</v>
      </c>
      <c r="H84" s="1"/>
      <c r="I84" s="1"/>
      <c r="J84" s="1"/>
      <c r="K84" s="1">
        <v>0.15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t="12.75" customHeight="1">
      <c r="A85" s="1"/>
      <c r="B85" s="1"/>
      <c r="C85" s="1"/>
      <c r="D85" s="1"/>
      <c r="E85" s="1"/>
      <c r="F85" s="1"/>
      <c r="G85" s="1" t="s">
        <v>75</v>
      </c>
      <c r="H85" s="1"/>
      <c r="I85" s="1"/>
      <c r="J85" s="1"/>
      <c r="K85" s="1">
        <v>0.3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t="12.75" customHeight="1">
      <c r="A86" s="1"/>
      <c r="B86" s="1"/>
      <c r="C86" s="1"/>
      <c r="D86" s="1"/>
      <c r="E86" s="1"/>
      <c r="F86" s="1"/>
      <c r="G86" s="1" t="s">
        <v>79</v>
      </c>
      <c r="H86" s="1"/>
      <c r="I86" s="1"/>
      <c r="J86" s="1"/>
      <c r="K86" s="1">
        <v>2.5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t="12.75" customHeight="1">
      <c r="A87" s="1"/>
      <c r="B87" s="1"/>
      <c r="C87" s="1"/>
      <c r="D87" s="1"/>
      <c r="E87" s="1"/>
      <c r="F87" s="1"/>
      <c r="G87" s="1" t="s">
        <v>75</v>
      </c>
      <c r="H87" s="1"/>
      <c r="I87" s="1"/>
      <c r="J87" s="1"/>
      <c r="K87" s="1">
        <f>K82</f>
        <v>0.3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t="12.75" customHeight="1">
      <c r="A88" s="1"/>
      <c r="B88" s="1"/>
      <c r="C88" s="1"/>
      <c r="D88" s="1"/>
      <c r="E88" s="1"/>
      <c r="F88" s="1"/>
      <c r="G88" s="1" t="s">
        <v>76</v>
      </c>
      <c r="H88" s="1"/>
      <c r="I88" s="1"/>
      <c r="J88" s="1"/>
      <c r="K88" s="1">
        <f>K81</f>
        <v>0.4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ht="12.75" customHeight="1">
      <c r="A89" s="1"/>
      <c r="B89" s="1"/>
      <c r="C89" s="1"/>
      <c r="D89" s="1"/>
      <c r="E89" s="1"/>
      <c r="F89" s="1"/>
      <c r="G89" s="1" t="s">
        <v>75</v>
      </c>
      <c r="H89" s="1"/>
      <c r="I89" s="1"/>
      <c r="J89" s="1"/>
      <c r="K89" s="1">
        <v>0.3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2.75" customHeight="1">
      <c r="A90" s="1"/>
      <c r="B90" s="1"/>
      <c r="C90" s="1"/>
      <c r="D90" s="1"/>
      <c r="E90" s="1"/>
      <c r="F90" s="1"/>
      <c r="G90" s="1" t="s">
        <v>80</v>
      </c>
      <c r="H90" s="1"/>
      <c r="I90" s="1"/>
      <c r="J90" s="1"/>
      <c r="K90" s="1">
        <v>0.5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2.75" customHeight="1">
      <c r="A91" s="1"/>
      <c r="B91" s="1"/>
      <c r="C91" s="1"/>
      <c r="D91" s="1"/>
      <c r="E91" s="1"/>
      <c r="F91" s="1"/>
      <c r="G91" s="1" t="s">
        <v>81</v>
      </c>
      <c r="H91" s="1"/>
      <c r="I91" s="1"/>
      <c r="J91" s="1"/>
      <c r="K91" s="1">
        <v>0.8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7">
        <f>SUM(K79:K91)</f>
        <v>6.5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ht="12.75" customHeight="1">
      <c r="A99" s="1"/>
      <c r="B99" s="36" t="s">
        <v>82</v>
      </c>
      <c r="C99" s="37"/>
      <c r="D99" s="3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ht="12.75" customHeight="1">
      <c r="A100" s="1"/>
      <c r="B100" s="39"/>
      <c r="C100" s="40"/>
      <c r="D100" s="4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ht="12.75" customHeight="1">
      <c r="A101" s="1"/>
      <c r="B101" s="41" t="s">
        <v>115</v>
      </c>
      <c r="C101" s="42">
        <v>10.33</v>
      </c>
      <c r="D101" s="43" t="s">
        <v>84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ht="12.75" customHeight="1">
      <c r="A102" s="1"/>
      <c r="B102" s="44" t="s">
        <v>116</v>
      </c>
      <c r="C102" s="45">
        <v>0.33</v>
      </c>
      <c r="D102" s="46" t="s">
        <v>84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ht="12.75" customHeight="1">
      <c r="A103" s="1"/>
      <c r="B103" s="47" t="s">
        <v>117</v>
      </c>
      <c r="C103" s="48">
        <v>0.0</v>
      </c>
      <c r="D103" s="49" t="s">
        <v>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ht="12.75" customHeight="1">
      <c r="A104" s="1"/>
      <c r="B104" s="39"/>
      <c r="C104" s="40"/>
      <c r="D104" s="4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ht="12.75" customHeight="1">
      <c r="A105" s="1"/>
      <c r="B105" s="41" t="s">
        <v>118</v>
      </c>
      <c r="C105" s="50">
        <f>C112*(C110/C109)*((C113^2)/(2*C114))</f>
        <v>0.2584644691</v>
      </c>
      <c r="D105" s="43" t="s">
        <v>1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ht="12.75" customHeight="1">
      <c r="A106" s="1"/>
      <c r="B106" s="44" t="s">
        <v>119</v>
      </c>
      <c r="C106" s="51">
        <f>C107*((4*C111)^2)/(2*C114*(C115^2)*(C109^4))</f>
        <v>2.016135656</v>
      </c>
      <c r="D106" s="46" t="s">
        <v>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ht="12.75" customHeight="1">
      <c r="A107" s="1"/>
      <c r="B107" s="47" t="s">
        <v>120</v>
      </c>
      <c r="C107" s="52">
        <v>6.5</v>
      </c>
      <c r="D107" s="4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ht="12.75" customHeight="1">
      <c r="A108" s="1"/>
      <c r="B108" s="39"/>
      <c r="C108" s="40"/>
      <c r="D108" s="4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ht="12.75" customHeight="1">
      <c r="A109" s="1"/>
      <c r="B109" s="41" t="s">
        <v>90</v>
      </c>
      <c r="C109" s="53">
        <v>0.1016</v>
      </c>
      <c r="D109" s="43" t="s">
        <v>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ht="12.75" customHeight="1">
      <c r="A110" s="1"/>
      <c r="B110" s="44" t="s">
        <v>91</v>
      </c>
      <c r="C110" s="54">
        <v>5.0</v>
      </c>
      <c r="D110" s="46" t="s">
        <v>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ht="12.75" customHeight="1">
      <c r="A111" s="1"/>
      <c r="B111" s="44" t="s">
        <v>92</v>
      </c>
      <c r="C111" s="45">
        <v>0.02</v>
      </c>
      <c r="D111" s="46" t="s">
        <v>93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ht="12.75" customHeight="1">
      <c r="A112" s="1"/>
      <c r="B112" s="44" t="s">
        <v>94</v>
      </c>
      <c r="C112" s="55">
        <v>0.01689</v>
      </c>
      <c r="D112" s="4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ht="12.75" customHeight="1">
      <c r="A113" s="1"/>
      <c r="B113" s="44" t="s">
        <v>95</v>
      </c>
      <c r="C113" s="45">
        <v>2.47</v>
      </c>
      <c r="D113" s="46" t="s">
        <v>17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ht="12.75" customHeight="1">
      <c r="A114" s="1"/>
      <c r="B114" s="44" t="s">
        <v>96</v>
      </c>
      <c r="C114" s="56">
        <v>9.81</v>
      </c>
      <c r="D114" s="46" t="s">
        <v>97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ht="12.75" customHeight="1">
      <c r="A115" s="1"/>
      <c r="B115" s="47" t="s">
        <v>98</v>
      </c>
      <c r="C115" s="57">
        <f>+PI()</f>
        <v>3.141592654</v>
      </c>
      <c r="D115" s="4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ht="12.75" customHeight="1">
      <c r="A116" s="1"/>
      <c r="B116" s="39"/>
      <c r="C116" s="40"/>
      <c r="D116" s="4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ht="12.75" customHeight="1">
      <c r="A117" s="1"/>
      <c r="B117" s="58" t="s">
        <v>99</v>
      </c>
      <c r="C117" s="59">
        <f>+C101+C103-C102-C105-C106</f>
        <v>7.725399875</v>
      </c>
      <c r="D117" s="6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ht="12.75" customHeight="1">
      <c r="A119" s="1"/>
      <c r="B119" s="58" t="s">
        <v>100</v>
      </c>
      <c r="C119" s="59">
        <v>10.2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ht="12.75" customHeight="1">
      <c r="A121" s="1"/>
      <c r="B121" s="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mergeCells count="2">
    <mergeCell ref="A7:A11"/>
    <mergeCell ref="B99:D99"/>
  </mergeCells>
  <printOptions/>
  <pageMargins bottom="0.984251968503937" footer="0.0" header="0.0" left="0.1968503937007874" right="0.1968503937007874" top="0.7874015748031497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2.86"/>
    <col customWidth="1" min="4" max="4" width="13.14"/>
    <col customWidth="1" min="5" max="7" width="11.43"/>
    <col customWidth="1" min="8" max="26" width="10.71"/>
  </cols>
  <sheetData>
    <row r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1"/>
      <c r="B11" s="61"/>
      <c r="C11" s="62" t="s">
        <v>121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1"/>
      <c r="B12" s="61"/>
      <c r="C12" s="61" t="s">
        <v>8</v>
      </c>
      <c r="D12" s="61">
        <v>0.17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1"/>
      <c r="C13" s="61" t="s">
        <v>122</v>
      </c>
      <c r="D13" s="61">
        <v>110.0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1">
        <v>4527.0</v>
      </c>
      <c r="C14" s="61" t="s">
        <v>11</v>
      </c>
      <c r="D14" s="61">
        <f>B14+F19</f>
        <v>5277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1"/>
      <c r="B15" s="61"/>
      <c r="C15" s="61" t="s">
        <v>13</v>
      </c>
      <c r="D15" s="61">
        <v>0.4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1"/>
      <c r="B17" s="61"/>
      <c r="C17" s="61"/>
      <c r="D17" s="61"/>
      <c r="E17" s="61"/>
      <c r="F17" s="61" t="s">
        <v>123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1"/>
      <c r="C18" s="61" t="s">
        <v>47</v>
      </c>
      <c r="D18" s="63">
        <f>10.675*((D12/D13)^1.852)*((D14)/(D15^4.87))</f>
        <v>30.39869707</v>
      </c>
      <c r="E18" s="61"/>
      <c r="F18" s="61">
        <f>8836+4527</f>
        <v>13363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1"/>
      <c r="B19" s="61"/>
      <c r="C19" s="61" t="s">
        <v>48</v>
      </c>
      <c r="D19" s="63">
        <f>+D18*0.15</f>
        <v>4.559804561</v>
      </c>
      <c r="E19" s="61"/>
      <c r="F19" s="62">
        <v>750.0</v>
      </c>
      <c r="G19" s="62" t="s">
        <v>124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1"/>
      <c r="C20" s="61"/>
      <c r="D20" s="61"/>
      <c r="E20" s="61"/>
      <c r="F20" s="61">
        <f>+F18+F19</f>
        <v>14113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61"/>
      <c r="B23" s="61"/>
      <c r="C23" s="61" t="s">
        <v>125</v>
      </c>
      <c r="D23" s="61">
        <v>73.1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5.75" customHeight="1">
      <c r="A24" s="61"/>
      <c r="B24" s="61"/>
      <c r="C24" s="61" t="s">
        <v>126</v>
      </c>
      <c r="D24" s="61">
        <v>191.0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75" customHeight="1">
      <c r="A25" s="61"/>
      <c r="B25" s="61"/>
      <c r="C25" s="61" t="s">
        <v>127</v>
      </c>
      <c r="D25" s="61">
        <f>+D23+D24</f>
        <v>264.1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61"/>
      <c r="B26" s="61">
        <v>116.0</v>
      </c>
      <c r="C26" s="61" t="s">
        <v>128</v>
      </c>
      <c r="D26" s="61">
        <f>B26-3</f>
        <v>113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5.75" customHeight="1">
      <c r="A27" s="61"/>
      <c r="B27" s="61"/>
      <c r="C27" s="61" t="s">
        <v>129</v>
      </c>
      <c r="D27" s="61">
        <f>+D25-D26</f>
        <v>151.1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5.75" customHeight="1">
      <c r="A28" s="61"/>
      <c r="B28" s="61"/>
      <c r="C28" s="62" t="s">
        <v>130</v>
      </c>
      <c r="D28" s="64">
        <f>+D27-D18-D19</f>
        <v>116.1414984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61"/>
      <c r="B36" s="61"/>
      <c r="C36" s="62" t="s">
        <v>131</v>
      </c>
      <c r="E36" s="61"/>
      <c r="F36" s="61" t="s">
        <v>123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61"/>
      <c r="B37" s="61"/>
      <c r="C37" s="61" t="s">
        <v>8</v>
      </c>
      <c r="D37" s="61">
        <v>0.17</v>
      </c>
      <c r="E37" s="61"/>
      <c r="F37" s="61">
        <f>8836+4527+8727+2300</f>
        <v>24390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5.75" customHeight="1">
      <c r="A38" s="61"/>
      <c r="B38" s="61"/>
      <c r="C38" s="61" t="s">
        <v>122</v>
      </c>
      <c r="D38" s="61">
        <v>110.0</v>
      </c>
      <c r="E38" s="61"/>
      <c r="F38" s="62">
        <v>650.0</v>
      </c>
      <c r="G38" s="62" t="s">
        <v>124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5.75" customHeight="1">
      <c r="A39" s="61"/>
      <c r="B39" s="61">
        <v>2300.0</v>
      </c>
      <c r="C39" s="61" t="s">
        <v>11</v>
      </c>
      <c r="D39" s="61">
        <f>+B39+F38</f>
        <v>2950</v>
      </c>
      <c r="E39" s="61"/>
      <c r="F39" s="61">
        <f>+F37+F38</f>
        <v>25040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5.75" customHeight="1">
      <c r="A40" s="61"/>
      <c r="B40" s="61"/>
      <c r="C40" s="61" t="s">
        <v>13</v>
      </c>
      <c r="D40" s="61">
        <v>0.4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 t="s">
        <v>47</v>
      </c>
      <c r="D43" s="63">
        <f>10.675*((D37/D38)^1.852)*((D39)/(D40^4.87))</f>
        <v>16.99377608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 t="s">
        <v>48</v>
      </c>
      <c r="D44" s="63">
        <f>+D43*0.15</f>
        <v>2.549066412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 t="s">
        <v>125</v>
      </c>
      <c r="D48" s="61">
        <v>195.6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 t="s">
        <v>126</v>
      </c>
      <c r="D49" s="61">
        <v>188.0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 t="s">
        <v>127</v>
      </c>
      <c r="D50" s="61">
        <f>+D48+D49</f>
        <v>383.6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>
        <v>255.0</v>
      </c>
      <c r="C51" s="61" t="s">
        <v>128</v>
      </c>
      <c r="D51" s="61">
        <f>B51-2</f>
        <v>253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 t="s">
        <v>129</v>
      </c>
      <c r="D52" s="61">
        <f>+D50-D51</f>
        <v>130.6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2" t="s">
        <v>130</v>
      </c>
      <c r="D53" s="64">
        <f>+D52-D43-D44</f>
        <v>111.0571575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2">
    <mergeCell ref="C11:D11"/>
    <mergeCell ref="C36:D36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2.86"/>
    <col customWidth="1" min="4" max="4" width="13.14"/>
    <col customWidth="1" min="5" max="7" width="11.43"/>
    <col customWidth="1" min="8" max="26" width="10.71"/>
  </cols>
  <sheetData>
    <row r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1"/>
      <c r="B11" s="61"/>
      <c r="C11" s="62" t="s">
        <v>132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1"/>
      <c r="B12" s="61"/>
      <c r="C12" s="61" t="s">
        <v>8</v>
      </c>
      <c r="D12" s="61">
        <v>0.22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1"/>
      <c r="C13" s="61" t="s">
        <v>122</v>
      </c>
      <c r="D13" s="61">
        <v>110.0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1">
        <v>4527.0</v>
      </c>
      <c r="C14" s="61" t="s">
        <v>11</v>
      </c>
      <c r="D14" s="61">
        <f>B14+F19</f>
        <v>6277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1"/>
      <c r="B15" s="61"/>
      <c r="C15" s="61" t="s">
        <v>13</v>
      </c>
      <c r="D15" s="61">
        <v>0.4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1"/>
      <c r="B17" s="61"/>
      <c r="C17" s="61"/>
      <c r="D17" s="61"/>
      <c r="E17" s="61"/>
      <c r="F17" s="61" t="s">
        <v>123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1"/>
      <c r="C18" s="61" t="s">
        <v>47</v>
      </c>
      <c r="D18" s="63">
        <f>10.675*((D12/D13)^1.852)*((D14)/(D15^4.87))</f>
        <v>58.29018136</v>
      </c>
      <c r="E18" s="61"/>
      <c r="F18" s="61">
        <f>8836+4527</f>
        <v>13363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1"/>
      <c r="B19" s="61"/>
      <c r="C19" s="61" t="s">
        <v>48</v>
      </c>
      <c r="D19" s="63">
        <f>+D18*0.15</f>
        <v>8.743527204</v>
      </c>
      <c r="E19" s="61"/>
      <c r="F19" s="62">
        <v>1750.0</v>
      </c>
      <c r="G19" s="62" t="s">
        <v>124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1"/>
      <c r="C20" s="61"/>
      <c r="D20" s="61"/>
      <c r="E20" s="61"/>
      <c r="F20" s="61">
        <f>+F18+F19</f>
        <v>15113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61"/>
      <c r="B23" s="61"/>
      <c r="C23" s="61" t="s">
        <v>125</v>
      </c>
      <c r="D23" s="61">
        <v>73.1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5.75" customHeight="1">
      <c r="A24" s="61"/>
      <c r="B24" s="61"/>
      <c r="C24" s="61" t="s">
        <v>126</v>
      </c>
      <c r="D24" s="61">
        <v>231.0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75" customHeight="1">
      <c r="A25" s="61"/>
      <c r="B25" s="61"/>
      <c r="C25" s="61" t="s">
        <v>127</v>
      </c>
      <c r="D25" s="61">
        <f>+D23+D24</f>
        <v>304.1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61"/>
      <c r="B26" s="61">
        <v>122.0</v>
      </c>
      <c r="C26" s="61" t="s">
        <v>128</v>
      </c>
      <c r="D26" s="61">
        <f>B26-3</f>
        <v>119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5.75" customHeight="1">
      <c r="A27" s="61"/>
      <c r="B27" s="61"/>
      <c r="C27" s="61" t="s">
        <v>129</v>
      </c>
      <c r="D27" s="61">
        <f>+D25-D26</f>
        <v>185.1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5.75" customHeight="1">
      <c r="A28" s="61"/>
      <c r="B28" s="61"/>
      <c r="C28" s="62" t="s">
        <v>130</v>
      </c>
      <c r="D28" s="64">
        <f>+D27-D18-D19</f>
        <v>118.0662914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61"/>
      <c r="B36" s="61"/>
      <c r="C36" s="62" t="s">
        <v>133</v>
      </c>
      <c r="E36" s="61"/>
      <c r="F36" s="61" t="s">
        <v>123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61"/>
      <c r="B37" s="61"/>
      <c r="C37" s="61" t="s">
        <v>8</v>
      </c>
      <c r="D37" s="61">
        <v>0.22</v>
      </c>
      <c r="E37" s="61"/>
      <c r="F37" s="61">
        <f>8836+4527+8727+2300</f>
        <v>24390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5.75" customHeight="1">
      <c r="A38" s="61"/>
      <c r="B38" s="61"/>
      <c r="C38" s="61" t="s">
        <v>122</v>
      </c>
      <c r="D38" s="61">
        <v>110.0</v>
      </c>
      <c r="E38" s="61"/>
      <c r="F38" s="62">
        <v>750.0</v>
      </c>
      <c r="G38" s="62" t="s">
        <v>124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5.75" customHeight="1">
      <c r="A39" s="61"/>
      <c r="B39" s="61">
        <v>2300.0</v>
      </c>
      <c r="C39" s="61" t="s">
        <v>11</v>
      </c>
      <c r="D39" s="61">
        <f>+B39+F38</f>
        <v>3050</v>
      </c>
      <c r="E39" s="61"/>
      <c r="F39" s="61">
        <f>+F37+F38</f>
        <v>25140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5.75" customHeight="1">
      <c r="A40" s="61"/>
      <c r="B40" s="61"/>
      <c r="C40" s="61" t="s">
        <v>13</v>
      </c>
      <c r="D40" s="61">
        <v>0.4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 t="s">
        <v>47</v>
      </c>
      <c r="D43" s="63">
        <f>10.675*((D37/D38)^1.852)*((D39)/(D40^4.87))</f>
        <v>28.32325205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 t="s">
        <v>48</v>
      </c>
      <c r="D44" s="63">
        <f>+D43*0.15</f>
        <v>4.248487808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 t="s">
        <v>125</v>
      </c>
      <c r="D48" s="61">
        <v>195.6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 t="s">
        <v>126</v>
      </c>
      <c r="D49" s="61">
        <v>211.0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 t="s">
        <v>127</v>
      </c>
      <c r="D50" s="61">
        <f>+D48+D49</f>
        <v>406.6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>
        <v>258.0</v>
      </c>
      <c r="C51" s="61" t="s">
        <v>128</v>
      </c>
      <c r="D51" s="61">
        <f>B51-2</f>
        <v>256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 t="s">
        <v>129</v>
      </c>
      <c r="D52" s="61">
        <f>+D50-D51</f>
        <v>150.6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2" t="s">
        <v>130</v>
      </c>
      <c r="D53" s="64">
        <f>+D52-D43-D44</f>
        <v>118.0282601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2">
    <mergeCell ref="C11:D11"/>
    <mergeCell ref="C36:D36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2.86"/>
    <col customWidth="1" min="4" max="4" width="13.14"/>
    <col customWidth="1" min="5" max="7" width="11.43"/>
    <col customWidth="1" min="8" max="26" width="10.71"/>
  </cols>
  <sheetData>
    <row r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1"/>
      <c r="B11" s="61"/>
      <c r="C11" s="62" t="s">
        <v>134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1"/>
      <c r="B12" s="61"/>
      <c r="C12" s="61" t="s">
        <v>8</v>
      </c>
      <c r="D12" s="61">
        <v>0.15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1"/>
      <c r="C13" s="61" t="s">
        <v>122</v>
      </c>
      <c r="D13" s="61">
        <v>110.0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1">
        <v>4527.0</v>
      </c>
      <c r="C14" s="61" t="s">
        <v>11</v>
      </c>
      <c r="D14" s="61">
        <f>B14+F19</f>
        <v>4527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1"/>
      <c r="B15" s="61"/>
      <c r="C15" s="61" t="s">
        <v>13</v>
      </c>
      <c r="D15" s="61">
        <v>0.4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1"/>
      <c r="B17" s="61"/>
      <c r="C17" s="61"/>
      <c r="D17" s="61"/>
      <c r="E17" s="61"/>
      <c r="F17" s="61" t="s">
        <v>123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1"/>
      <c r="C18" s="61" t="s">
        <v>47</v>
      </c>
      <c r="D18" s="63">
        <f>10.675*((D12/D13)^1.852)*((D14)/(D15^4.87))</f>
        <v>20.68273556</v>
      </c>
      <c r="E18" s="61"/>
      <c r="F18" s="61">
        <f>8836+4527</f>
        <v>13363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1"/>
      <c r="B19" s="61"/>
      <c r="C19" s="61" t="s">
        <v>48</v>
      </c>
      <c r="D19" s="63">
        <f>+D18*0.15</f>
        <v>3.102410334</v>
      </c>
      <c r="E19" s="61"/>
      <c r="F19" s="62">
        <v>0.0</v>
      </c>
      <c r="G19" s="62" t="s">
        <v>124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1"/>
      <c r="C20" s="61"/>
      <c r="D20" s="61"/>
      <c r="E20" s="61"/>
      <c r="F20" s="61">
        <f>+F18+F19</f>
        <v>13363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61"/>
      <c r="B23" s="61"/>
      <c r="C23" s="61" t="s">
        <v>125</v>
      </c>
      <c r="D23" s="61">
        <v>73.1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5.75" customHeight="1">
      <c r="A24" s="61"/>
      <c r="B24" s="61"/>
      <c r="C24" s="61" t="s">
        <v>126</v>
      </c>
      <c r="D24" s="61">
        <v>176.0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75" customHeight="1">
      <c r="A25" s="61"/>
      <c r="B25" s="61"/>
      <c r="C25" s="61" t="s">
        <v>127</v>
      </c>
      <c r="D25" s="61">
        <f>+D23+D24</f>
        <v>249.1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61"/>
      <c r="B26" s="61">
        <v>107.0</v>
      </c>
      <c r="C26" s="61" t="s">
        <v>128</v>
      </c>
      <c r="D26" s="61">
        <f>B26-3</f>
        <v>104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5.75" customHeight="1">
      <c r="A27" s="61"/>
      <c r="B27" s="61"/>
      <c r="C27" s="61" t="s">
        <v>129</v>
      </c>
      <c r="D27" s="61">
        <f>+D25-D26</f>
        <v>145.1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5.75" customHeight="1">
      <c r="A28" s="61"/>
      <c r="B28" s="61"/>
      <c r="C28" s="62" t="s">
        <v>130</v>
      </c>
      <c r="D28" s="64">
        <f>+D27-D18-D19</f>
        <v>121.3148541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61"/>
      <c r="B36" s="61"/>
      <c r="C36" s="62" t="s">
        <v>135</v>
      </c>
      <c r="E36" s="61"/>
      <c r="F36" s="61" t="s">
        <v>123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61"/>
      <c r="B37" s="61">
        <f>1-0.18</f>
        <v>0.82</v>
      </c>
      <c r="C37" s="61" t="s">
        <v>8</v>
      </c>
      <c r="D37" s="61">
        <f>0.15*B37</f>
        <v>0.123</v>
      </c>
      <c r="E37" s="61"/>
      <c r="F37" s="61">
        <f>8836+4527+8727+2300</f>
        <v>24390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5.75" customHeight="1">
      <c r="A38" s="61"/>
      <c r="B38" s="61"/>
      <c r="C38" s="61" t="s">
        <v>122</v>
      </c>
      <c r="D38" s="61">
        <v>110.0</v>
      </c>
      <c r="E38" s="61"/>
      <c r="F38" s="62">
        <v>400.0</v>
      </c>
      <c r="G38" s="62" t="s">
        <v>124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5.75" customHeight="1">
      <c r="A39" s="61"/>
      <c r="B39" s="61">
        <v>2300.0</v>
      </c>
      <c r="C39" s="61" t="s">
        <v>11</v>
      </c>
      <c r="D39" s="61">
        <f>+B39+F38</f>
        <v>2700</v>
      </c>
      <c r="E39" s="61"/>
      <c r="F39" s="61">
        <f>+F37+F38</f>
        <v>24790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5.75" customHeight="1">
      <c r="A40" s="61"/>
      <c r="B40" s="61"/>
      <c r="C40" s="61" t="s">
        <v>13</v>
      </c>
      <c r="D40" s="61">
        <v>0.4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 t="s">
        <v>47</v>
      </c>
      <c r="D43" s="63">
        <f>10.675*((D37/D38)^1.852)*((D39)/(D40^4.87))</f>
        <v>8.541703725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 t="s">
        <v>48</v>
      </c>
      <c r="D44" s="63">
        <f>+D43*0.15</f>
        <v>1.281255559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 t="s">
        <v>125</v>
      </c>
      <c r="D48" s="61">
        <v>195.6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 t="s">
        <v>126</v>
      </c>
      <c r="D49" s="61">
        <v>188.0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 t="s">
        <v>127</v>
      </c>
      <c r="D50" s="61">
        <f>+D48+D49</f>
        <v>383.6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>
        <v>253.0</v>
      </c>
      <c r="C51" s="61" t="s">
        <v>128</v>
      </c>
      <c r="D51" s="61">
        <f>B51-2</f>
        <v>251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 t="s">
        <v>129</v>
      </c>
      <c r="D52" s="61">
        <f>+D50-D51</f>
        <v>132.6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2" t="s">
        <v>130</v>
      </c>
      <c r="D53" s="64">
        <f>+D52-D43-D44</f>
        <v>122.7770407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mergeCells count="2">
    <mergeCell ref="C11:D11"/>
    <mergeCell ref="C36:D36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11.43"/>
    <col customWidth="1" min="11" max="26" width="10.71"/>
  </cols>
  <sheetData>
    <row r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61"/>
      <c r="B4" s="61"/>
      <c r="C4" s="65" t="s">
        <v>136</v>
      </c>
      <c r="D4" s="65" t="s">
        <v>137</v>
      </c>
      <c r="E4" s="65" t="s">
        <v>138</v>
      </c>
      <c r="F4" s="65" t="s">
        <v>139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61"/>
      <c r="B5" s="61"/>
      <c r="C5" s="66">
        <v>0.0</v>
      </c>
      <c r="D5" s="66">
        <v>60.34</v>
      </c>
      <c r="E5" s="67">
        <v>0.0</v>
      </c>
      <c r="F5" s="66">
        <v>7.83</v>
      </c>
      <c r="G5" s="61"/>
      <c r="H5" s="61"/>
      <c r="I5" s="61"/>
      <c r="J5" s="63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61"/>
      <c r="B6" s="61"/>
      <c r="C6" s="66">
        <v>2.0</v>
      </c>
      <c r="D6" s="66">
        <v>60.14</v>
      </c>
      <c r="E6" s="67">
        <v>0.185</v>
      </c>
      <c r="F6" s="66">
        <v>8.57</v>
      </c>
      <c r="G6" s="61"/>
      <c r="H6" s="61"/>
      <c r="I6" s="61"/>
      <c r="J6" s="63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1"/>
      <c r="B7" s="61"/>
      <c r="C7" s="66">
        <v>4.0</v>
      </c>
      <c r="D7" s="66">
        <v>59.83</v>
      </c>
      <c r="E7" s="67">
        <v>0.337</v>
      </c>
      <c r="F7" s="66">
        <v>9.38</v>
      </c>
      <c r="G7" s="61"/>
      <c r="H7" s="61"/>
      <c r="I7" s="61"/>
      <c r="J7" s="63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1"/>
      <c r="B8" s="61"/>
      <c r="C8" s="66">
        <v>6.0</v>
      </c>
      <c r="D8" s="66">
        <v>59.41</v>
      </c>
      <c r="E8" s="67">
        <v>0.457</v>
      </c>
      <c r="F8" s="66">
        <v>10.2</v>
      </c>
      <c r="G8" s="61"/>
      <c r="H8" s="61"/>
      <c r="I8" s="61"/>
      <c r="J8" s="6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1"/>
      <c r="B9" s="61"/>
      <c r="C9" s="66">
        <v>8.0</v>
      </c>
      <c r="D9" s="66">
        <v>58.83</v>
      </c>
      <c r="E9" s="67">
        <v>0.551</v>
      </c>
      <c r="F9" s="66">
        <v>11.2</v>
      </c>
      <c r="G9" s="61"/>
      <c r="H9" s="61"/>
      <c r="I9" s="61"/>
      <c r="J9" s="63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1"/>
      <c r="B10" s="61"/>
      <c r="C10" s="66">
        <v>10.0</v>
      </c>
      <c r="D10" s="66">
        <v>58.02</v>
      </c>
      <c r="E10" s="67">
        <v>0.621</v>
      </c>
      <c r="F10" s="66">
        <v>12.2</v>
      </c>
      <c r="G10" s="61"/>
      <c r="H10" s="61"/>
      <c r="I10" s="61"/>
      <c r="J10" s="63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1"/>
      <c r="B11" s="61"/>
      <c r="C11" s="66">
        <v>12.0</v>
      </c>
      <c r="D11" s="66">
        <v>56.84</v>
      </c>
      <c r="E11" s="67">
        <v>0.669</v>
      </c>
      <c r="F11" s="66">
        <v>13.3</v>
      </c>
      <c r="G11" s="61"/>
      <c r="H11" s="61"/>
      <c r="I11" s="61"/>
      <c r="J11" s="63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61"/>
      <c r="B12" s="61"/>
      <c r="C12" s="66">
        <v>14.0</v>
      </c>
      <c r="D12" s="66">
        <v>55.19</v>
      </c>
      <c r="E12" s="67">
        <v>0.695</v>
      </c>
      <c r="F12" s="66">
        <v>14.6</v>
      </c>
      <c r="G12" s="61"/>
      <c r="H12" s="61"/>
      <c r="I12" s="61"/>
      <c r="J12" s="63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61"/>
      <c r="B13" s="61"/>
      <c r="C13" s="66">
        <v>16.0</v>
      </c>
      <c r="D13" s="66">
        <v>52.94</v>
      </c>
      <c r="E13" s="67">
        <v>0.698</v>
      </c>
      <c r="F13" s="66">
        <v>15.9</v>
      </c>
      <c r="G13" s="61"/>
      <c r="H13" s="61"/>
      <c r="I13" s="61"/>
      <c r="J13" s="63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61"/>
      <c r="B14" s="61"/>
      <c r="C14" s="66">
        <v>18.0</v>
      </c>
      <c r="D14" s="66">
        <v>49.77</v>
      </c>
      <c r="E14" s="67">
        <v>0.677</v>
      </c>
      <c r="F14" s="66">
        <v>17.4</v>
      </c>
      <c r="G14" s="61"/>
      <c r="H14" s="61"/>
      <c r="I14" s="61"/>
      <c r="J14" s="63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1"/>
      <c r="B17" s="61"/>
      <c r="C17" s="68" t="s">
        <v>140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1"/>
      <c r="B18" s="61"/>
      <c r="C18" s="68" t="s">
        <v>141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5.7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7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5.7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5.7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5.7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5.7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2021-02-19T15:37:15Z</dcterms:created>
  <dc:creator>Fabian Vinces</dc:creator>
</cp:coreProperties>
</file>